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10" documentId="13_ncr:1_{77B5033F-4055-47EE-9196-9576F203AC05}" xr6:coauthVersionLast="47" xr6:coauthVersionMax="47" xr10:uidLastSave="{A1CFD877-06A0-40DD-908D-44BB4728AE18}"/>
  <bookViews>
    <workbookView xWindow="-108" yWindow="-108" windowWidth="23256" windowHeight="14856" xr2:uid="{00000000-000D-0000-FFFF-FFFF00000000}"/>
  </bookViews>
  <sheets>
    <sheet name="幼稚園" sheetId="9" r:id="rId1"/>
    <sheet name="保育所" sheetId="5" r:id="rId2"/>
    <sheet name="認定こども園" sheetId="6" r:id="rId3"/>
    <sheet name="小規模（事業所内）Ａ・Ｂ" sheetId="7" r:id="rId4"/>
    <sheet name="事業所内（定員20以上）" sheetId="10" r:id="rId5"/>
    <sheet name="小規模Ｃ" sheetId="8" r:id="rId6"/>
  </sheets>
  <definedNames>
    <definedName name="_xlnm.Print_Area" localSheetId="4">'事業所内（定員20以上）'!$A$1:$I$35</definedName>
    <definedName name="_xlnm.Print_Area" localSheetId="3">'小規模（事業所内）Ａ・Ｂ'!$A$1:$I$33</definedName>
    <definedName name="_xlnm.Print_Area" localSheetId="5">小規模Ｃ!$A$1:$I$29</definedName>
    <definedName name="_xlnm.Print_Area" localSheetId="2">認定こども園!$A$1:$L$60</definedName>
    <definedName name="_xlnm.Print_Area" localSheetId="1">保育所!$A$1:$L$46</definedName>
    <definedName name="_xlnm.Print_Area" localSheetId="0">幼稚園!$A$1:$G$44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8" l="1"/>
  <c r="H27" i="8"/>
  <c r="H33" i="10"/>
  <c r="H34" i="10"/>
  <c r="H32" i="7"/>
  <c r="H31" i="7"/>
  <c r="H59" i="6"/>
  <c r="H58" i="6"/>
  <c r="H45" i="5"/>
  <c r="H44" i="5"/>
  <c r="F42" i="9"/>
  <c r="K25" i="5" l="1"/>
  <c r="G31" i="9" l="1"/>
  <c r="H24" i="8"/>
  <c r="H23" i="8"/>
  <c r="G24" i="8"/>
  <c r="G23" i="8"/>
  <c r="H20" i="8"/>
  <c r="H14" i="8"/>
  <c r="H19" i="8" s="1"/>
  <c r="G9" i="8"/>
  <c r="H30" i="10"/>
  <c r="H29" i="10"/>
  <c r="G30" i="10"/>
  <c r="G29" i="10"/>
  <c r="H26" i="10"/>
  <c r="H25" i="10"/>
  <c r="H23" i="10"/>
  <c r="H20" i="10"/>
  <c r="H19" i="10"/>
  <c r="G18" i="10"/>
  <c r="G17" i="10"/>
  <c r="H15" i="10"/>
  <c r="G15" i="10"/>
  <c r="G14" i="10"/>
  <c r="G13" i="10"/>
  <c r="H28" i="7"/>
  <c r="H27" i="7"/>
  <c r="G28" i="7"/>
  <c r="G27" i="7"/>
  <c r="H24" i="7"/>
  <c r="H23" i="7"/>
  <c r="H17" i="7"/>
  <c r="H15" i="7"/>
  <c r="H14" i="7"/>
  <c r="G12" i="7"/>
  <c r="H50" i="6"/>
  <c r="H33" i="6"/>
  <c r="G26" i="6"/>
  <c r="J29" i="6"/>
  <c r="K29" i="6" s="1"/>
  <c r="L29" i="5"/>
  <c r="H30" i="5"/>
  <c r="J21" i="5" l="1"/>
  <c r="I30" i="6" l="1"/>
  <c r="I26" i="5"/>
  <c r="J24" i="6" l="1"/>
  <c r="F24" i="6"/>
  <c r="F21" i="5"/>
  <c r="G21" i="5" s="1"/>
  <c r="H21" i="5" s="1"/>
  <c r="G19" i="9" l="1"/>
  <c r="G18" i="9"/>
  <c r="I25" i="6"/>
  <c r="K24" i="6" s="1"/>
  <c r="G17" i="9" l="1"/>
  <c r="G24" i="6"/>
  <c r="H37" i="6"/>
  <c r="H38" i="6"/>
  <c r="I18" i="5"/>
  <c r="H33" i="5"/>
  <c r="H40" i="6" l="1"/>
  <c r="H39" i="6"/>
  <c r="J26" i="6"/>
  <c r="I24" i="5"/>
  <c r="J23" i="5"/>
  <c r="K23" i="5" s="1"/>
  <c r="I22" i="5"/>
  <c r="K21" i="5" s="1"/>
  <c r="F23" i="5"/>
  <c r="G23" i="5" s="1"/>
  <c r="F8" i="9"/>
  <c r="H31" i="5" l="1"/>
  <c r="H32" i="5"/>
  <c r="G22" i="9"/>
  <c r="G24" i="9" l="1"/>
  <c r="G15" i="7" l="1"/>
  <c r="L34" i="6"/>
  <c r="L35" i="5" l="1"/>
  <c r="H35" i="5"/>
  <c r="G23" i="9" l="1"/>
  <c r="G21" i="9"/>
  <c r="G32" i="9"/>
  <c r="H22" i="10" l="1"/>
  <c r="H16" i="8"/>
  <c r="H20" i="7"/>
  <c r="H45" i="6"/>
  <c r="H34" i="5"/>
  <c r="I34" i="5"/>
  <c r="G30" i="9"/>
  <c r="G29" i="9"/>
  <c r="I37" i="6" l="1"/>
  <c r="I28" i="6" l="1"/>
  <c r="I27" i="6"/>
  <c r="K26" i="6" s="1"/>
  <c r="F8" i="6" l="1"/>
  <c r="L33" i="6"/>
  <c r="L26" i="6" l="1"/>
  <c r="H14" i="10" l="1"/>
  <c r="H13" i="10"/>
  <c r="G14" i="7"/>
  <c r="H12" i="7"/>
  <c r="G11" i="7"/>
  <c r="H11" i="7" s="1"/>
  <c r="G10" i="7"/>
  <c r="H10" i="7" s="1"/>
  <c r="J27" i="5"/>
  <c r="J25" i="5"/>
  <c r="L35" i="6" l="1"/>
  <c r="J8" i="6"/>
  <c r="J11" i="6"/>
  <c r="K49" i="6"/>
  <c r="L49" i="6" s="1"/>
  <c r="I36" i="6"/>
  <c r="H35" i="6"/>
  <c r="J31" i="6"/>
  <c r="H34" i="6" l="1"/>
  <c r="K31" i="6"/>
  <c r="L31" i="6" s="1"/>
  <c r="L29" i="6"/>
  <c r="L24" i="6"/>
  <c r="G49" i="6"/>
  <c r="H49" i="6" s="1"/>
  <c r="L32" i="6" l="1"/>
  <c r="I48" i="6"/>
  <c r="I47" i="6"/>
  <c r="I46" i="6"/>
  <c r="I44" i="6"/>
  <c r="I43" i="6"/>
  <c r="I42" i="6"/>
  <c r="I41" i="6"/>
  <c r="I40" i="6"/>
  <c r="I39" i="6"/>
  <c r="I38" i="6"/>
  <c r="L50" i="6" l="1"/>
  <c r="L51" i="6" s="1"/>
  <c r="J7" i="6"/>
  <c r="K27" i="5"/>
  <c r="L27" i="5" s="1"/>
  <c r="L25" i="5"/>
  <c r="L21" i="5"/>
  <c r="I33" i="5"/>
  <c r="I32" i="5"/>
  <c r="I31" i="5"/>
  <c r="I30" i="5"/>
  <c r="J9" i="5"/>
  <c r="J7" i="5"/>
  <c r="L23" i="5" l="1"/>
  <c r="L28" i="5" s="1"/>
  <c r="L36" i="5" s="1"/>
  <c r="L37" i="5" s="1"/>
  <c r="G26" i="9" l="1"/>
  <c r="H24" i="10" l="1"/>
  <c r="F9" i="5" l="1"/>
  <c r="H48" i="6" l="1"/>
  <c r="H47" i="6"/>
  <c r="F26" i="6" l="1"/>
  <c r="H21" i="10" l="1"/>
  <c r="H17" i="10"/>
  <c r="H18" i="10"/>
  <c r="H35" i="10" l="1"/>
  <c r="F31" i="6"/>
  <c r="F29" i="6"/>
  <c r="G29" i="6" s="1"/>
  <c r="F11" i="6"/>
  <c r="F25" i="5" l="1"/>
  <c r="G25" i="5" s="1"/>
  <c r="H25" i="5" s="1"/>
  <c r="F27" i="5"/>
  <c r="H23" i="5" l="1"/>
  <c r="G28" i="9" l="1"/>
  <c r="G27" i="9"/>
  <c r="G25" i="9"/>
  <c r="G33" i="9" l="1"/>
  <c r="G34" i="9" s="1"/>
  <c r="G13" i="8"/>
  <c r="H13" i="8" s="1"/>
  <c r="G12" i="8"/>
  <c r="H12" i="8" s="1"/>
  <c r="H9" i="8"/>
  <c r="H17" i="8"/>
  <c r="H15" i="8"/>
  <c r="H18" i="7"/>
  <c r="H21" i="7"/>
  <c r="H19" i="7"/>
  <c r="H46" i="6"/>
  <c r="H44" i="6"/>
  <c r="H43" i="6"/>
  <c r="H42" i="6"/>
  <c r="H36" i="6"/>
  <c r="H41" i="6"/>
  <c r="G31" i="6"/>
  <c r="H31" i="6" s="1"/>
  <c r="H29" i="6"/>
  <c r="H26" i="6"/>
  <c r="H24" i="6"/>
  <c r="H29" i="5"/>
  <c r="G27" i="5"/>
  <c r="H27" i="5" s="1"/>
  <c r="H28" i="5" s="1"/>
  <c r="H36" i="5" s="1"/>
  <c r="H37" i="5" s="1"/>
  <c r="G41" i="5" l="1"/>
  <c r="G40" i="5"/>
  <c r="H40" i="5" s="1"/>
  <c r="F38" i="9"/>
  <c r="F39" i="9"/>
  <c r="F43" i="9" s="1"/>
  <c r="F44" i="9" s="1"/>
  <c r="H32" i="6"/>
  <c r="H51" i="6" s="1"/>
  <c r="G54" i="6" l="1"/>
  <c r="H54" i="6" s="1"/>
  <c r="G55" i="6"/>
  <c r="H55" i="6" s="1"/>
  <c r="H60" i="6" l="1"/>
  <c r="H41" i="5"/>
  <c r="H46" i="5" s="1"/>
  <c r="H29" i="8" l="1"/>
  <c r="H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12"/>
            <color indexed="81"/>
            <rFont val="MS P ゴシック"/>
            <family val="3"/>
            <charset val="128"/>
          </rPr>
          <t>加算算定上の「加配人数」を入力</t>
        </r>
      </text>
    </comment>
    <comment ref="C29" authorId="0" shapeId="0" xr:uid="{00000000-0006-0000-0000-000002000000}">
      <text>
        <r>
          <rPr>
            <sz val="11"/>
            <color indexed="81"/>
            <rFont val="MS P ゴシック"/>
            <family val="3"/>
            <charset val="128"/>
          </rPr>
          <t>A:配置を受けていること</t>
        </r>
      </text>
    </comment>
    <comment ref="F31" authorId="0" shapeId="0" xr:uid="{00000000-0006-0000-0000-000003000000}">
      <text>
        <r>
          <rPr>
            <sz val="12"/>
            <color indexed="81"/>
            <rFont val="MS P ゴシック"/>
            <family val="3"/>
            <charset val="128"/>
          </rPr>
          <t>「必要教員数－配置教員数」
の値を入力</t>
        </r>
      </text>
    </comment>
    <comment ref="G37" authorId="0" shapeId="0" xr:uid="{95509894-C640-4D57-AC6F-332C150E0F7A}">
      <text>
        <r>
          <rPr>
            <sz val="12"/>
            <color indexed="81"/>
            <rFont val="MS P ゴシック"/>
            <family val="3"/>
            <charset val="128"/>
          </rPr>
          <t>研修修了者の実人数を入力
（実人数を入力しなければ加算見込額が算出されません。）</t>
        </r>
      </text>
    </comment>
    <comment ref="F42" authorId="0" shapeId="0" xr:uid="{8D4303C0-38F0-4771-B63E-04C4BCBAAD11}">
      <text>
        <r>
          <rPr>
            <sz val="12"/>
            <color indexed="81"/>
            <rFont val="MS P ゴシック"/>
            <family val="3"/>
            <charset val="128"/>
          </rPr>
          <t>研修修了者の実人数が算定人数に達していない場合は、実人数が人数Aとなります。</t>
        </r>
      </text>
    </comment>
    <comment ref="F43" authorId="0" shapeId="0" xr:uid="{4ABD5EED-C767-4895-B320-7DA815381DAC}">
      <text>
        <r>
          <rPr>
            <sz val="12"/>
            <color indexed="81"/>
            <rFont val="MS P ゴシック"/>
            <family val="3"/>
            <charset val="128"/>
          </rPr>
          <t>研修修了者の実人数が算定人数に達していない場合は、実人数が人数Bとなります。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A5173801-96A6-4B8A-B4F4-1B4682CCE5FA}">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00000000-0006-0000-0100-000001000000}">
      <text>
        <r>
          <rPr>
            <sz val="12"/>
            <color indexed="81"/>
            <rFont val="MS P ゴシック"/>
            <family val="3"/>
            <charset val="128"/>
          </rPr>
          <t>A：配置であること</t>
        </r>
      </text>
    </comment>
    <comment ref="I39" authorId="0" shapeId="0" xr:uid="{6E4DC130-073F-4C23-A586-698A2EAA2990}">
      <text>
        <r>
          <rPr>
            <sz val="12"/>
            <color indexed="81"/>
            <rFont val="MS P ゴシック"/>
            <family val="3"/>
            <charset val="128"/>
          </rPr>
          <t>研修修了者の実人数を入力
（実人数を入力しなければ加算見込額が算出されません。）</t>
        </r>
      </text>
    </comment>
    <comment ref="H44" authorId="0" shapeId="0" xr:uid="{913D507E-F70B-4C52-AC66-D1C57997606B}">
      <text>
        <r>
          <rPr>
            <sz val="11"/>
            <color indexed="81"/>
            <rFont val="MS P ゴシック"/>
            <family val="3"/>
            <charset val="128"/>
          </rPr>
          <t>研修修了者の実人数が算定人数に達していない場合は、実人数が人数Aとなります。</t>
        </r>
      </text>
    </comment>
    <comment ref="H45" authorId="0" shapeId="0" xr:uid="{43B83D45-5E91-48B5-B9C2-09B55060EB1D}">
      <text>
        <r>
          <rPr>
            <sz val="12"/>
            <color indexed="81"/>
            <rFont val="MS P ゴシック"/>
            <family val="3"/>
            <charset val="128"/>
          </rPr>
          <t>研修修了者の実人数が算定人数に達していない場合は、実人数が人数Bとなります。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8" authorId="0" shapeId="0" xr:uid="{00000000-0006-0000-0200-000001000000}">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5" authorId="0" shapeId="0" xr:uid="{00000000-0006-0000-0200-000002000000}">
      <text>
        <r>
          <rPr>
            <sz val="12"/>
            <color indexed="81"/>
            <rFont val="MS P ゴシック"/>
            <family val="3"/>
            <charset val="128"/>
          </rPr>
          <t>A[配置」であること</t>
        </r>
      </text>
    </comment>
    <comment ref="F47" authorId="0" shapeId="0" xr:uid="{00000000-0006-0000-0200-000003000000}">
      <text>
        <r>
          <rPr>
            <sz val="12"/>
            <color indexed="81"/>
            <rFont val="MS P ゴシック"/>
            <family val="3"/>
            <charset val="128"/>
          </rPr>
          <t>「必要代替保育教諭等数－配置代替保育教諭等数」の値を入力</t>
        </r>
      </text>
    </comment>
    <comment ref="F48" authorId="0" shapeId="0" xr:uid="{00000000-0006-0000-0200-000004000000}">
      <text>
        <r>
          <rPr>
            <sz val="12"/>
            <color indexed="81"/>
            <rFont val="MS P ゴシック"/>
            <family val="3"/>
            <charset val="128"/>
          </rPr>
          <t>「必要保育教諭等数－配置保育教諭等数」
の値を入力</t>
        </r>
      </text>
    </comment>
    <comment ref="I53" authorId="0" shapeId="0" xr:uid="{6E92244C-98B0-43C9-86E0-9BD0A9F4405E}">
      <text>
        <r>
          <rPr>
            <sz val="12"/>
            <color indexed="81"/>
            <rFont val="MS P ゴシック"/>
            <family val="3"/>
            <charset val="128"/>
          </rPr>
          <t>研修修了者の実人数を入力
（実人数を入力しなければ加算見込額が算出されません。）</t>
        </r>
      </text>
    </comment>
    <comment ref="H58" authorId="0" shapeId="0" xr:uid="{D53CE5A0-4294-4314-9BC3-339783620B13}">
      <text>
        <r>
          <rPr>
            <sz val="12"/>
            <color indexed="81"/>
            <rFont val="MS P ゴシック"/>
            <family val="3"/>
            <charset val="128"/>
          </rPr>
          <t>研修修了者の実人数が算定人数に達していない場合は、実人数が人数Aとなります。</t>
        </r>
      </text>
    </comment>
    <comment ref="H59" authorId="0" shapeId="0" xr:uid="{C048432D-8DF6-4C93-B3E0-954FD5241017}">
      <text>
        <r>
          <rPr>
            <sz val="12"/>
            <color indexed="81"/>
            <rFont val="MS P ゴシック"/>
            <family val="3"/>
            <charset val="128"/>
          </rPr>
          <t>研修修了者の実人数が算定人数に達していない場合は、実人数が人数Bとなります。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BE5704C0-AD27-4E6E-AA2A-A66919E49793}">
      <text>
        <r>
          <rPr>
            <sz val="12"/>
            <color indexed="81"/>
            <rFont val="MS P ゴシック"/>
            <family val="3"/>
            <charset val="128"/>
          </rPr>
          <t>１歳児配置改善加算を受ける場合、１歳児の人数を入力すること</t>
        </r>
      </text>
    </comment>
    <comment ref="C20" authorId="0" shapeId="0" xr:uid="{00000000-0006-0000-0300-000001000000}">
      <text>
        <r>
          <rPr>
            <sz val="12"/>
            <color indexed="81"/>
            <rFont val="MS P ゴシック"/>
            <family val="3"/>
            <charset val="128"/>
          </rPr>
          <t>A「配置」であること</t>
        </r>
      </text>
    </comment>
    <comment ref="I26" authorId="0" shapeId="0" xr:uid="{717195B2-F95E-4E27-87A3-D1A343F3CBFA}">
      <text>
        <r>
          <rPr>
            <sz val="12"/>
            <color indexed="81"/>
            <rFont val="MS P ゴシック"/>
            <family val="3"/>
            <charset val="128"/>
          </rPr>
          <t>研修修了者の実人数を入力
（実人数を入力しなければ加算見込額が算出されません。）</t>
        </r>
      </text>
    </comment>
    <comment ref="H31" authorId="0" shapeId="0" xr:uid="{03939631-E44B-4BA6-AAA7-496CD06CA3F7}">
      <text>
        <r>
          <rPr>
            <sz val="12"/>
            <color indexed="81"/>
            <rFont val="MS P ゴシック"/>
            <family val="3"/>
            <charset val="128"/>
          </rPr>
          <t>研修修了者の実人数が算定人数に達していない場合は、実人数が人数Aとなります。</t>
        </r>
      </text>
    </comment>
    <comment ref="H32" authorId="0" shapeId="0" xr:uid="{C35CBA13-B05C-4888-9D1A-739C62673ECF}">
      <text>
        <r>
          <rPr>
            <sz val="12"/>
            <color indexed="81"/>
            <rFont val="MS P ゴシック"/>
            <family val="3"/>
            <charset val="128"/>
          </rPr>
          <t>研修修了者の実人数が算定人数に達していない場合は、実人数が人数Bとなります。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3D9098EE-2765-4326-9795-82B436ABDBD1}">
      <text>
        <r>
          <rPr>
            <sz val="12"/>
            <color indexed="81"/>
            <rFont val="MS P ゴシック"/>
            <family val="3"/>
            <charset val="128"/>
          </rPr>
          <t>１歳児配置改善加算を受ける場合、１歳児の人数を入力すること</t>
        </r>
      </text>
    </comment>
    <comment ref="C22" authorId="0" shapeId="0" xr:uid="{00000000-0006-0000-0400-000001000000}">
      <text>
        <r>
          <rPr>
            <sz val="12"/>
            <color indexed="81"/>
            <rFont val="MS P ゴシック"/>
            <family val="3"/>
            <charset val="128"/>
          </rPr>
          <t>A「配置」であること</t>
        </r>
      </text>
    </comment>
    <comment ref="I28" authorId="0" shapeId="0" xr:uid="{F118E35D-1ECA-419F-A552-2EA0102803A8}">
      <text>
        <r>
          <rPr>
            <sz val="12"/>
            <color indexed="81"/>
            <rFont val="MS P ゴシック"/>
            <family val="3"/>
            <charset val="128"/>
          </rPr>
          <t>研修修了者の実人数を入力
（実人数を入力しなければ加算見込額が算出されません。）</t>
        </r>
      </text>
    </comment>
    <comment ref="H33" authorId="0" shapeId="0" xr:uid="{5022E39C-00BB-4C62-AFA7-13C642DC8DA4}">
      <text>
        <r>
          <rPr>
            <sz val="12"/>
            <color indexed="81"/>
            <rFont val="MS P ゴシック"/>
            <family val="3"/>
            <charset val="128"/>
          </rPr>
          <t>研修修了者の実人数が算定人数に達していない場合は、実人数が人数Aとなります。</t>
        </r>
      </text>
    </comment>
    <comment ref="H34" authorId="0" shapeId="0" xr:uid="{E4EA29A8-B822-496A-AB50-09300D8471E9}">
      <text>
        <r>
          <rPr>
            <sz val="12"/>
            <color indexed="81"/>
            <rFont val="MS P ゴシック"/>
            <family val="3"/>
            <charset val="128"/>
          </rPr>
          <t>研修修了者の実人数が算定人数に達していない場合は、実人数が人数Bとなります。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 ref="I22" authorId="0" shapeId="0" xr:uid="{0C3061D5-070C-4EF2-ABAE-2C7AABCDE468}">
      <text>
        <r>
          <rPr>
            <sz val="12"/>
            <color indexed="81"/>
            <rFont val="MS P ゴシック"/>
            <family val="3"/>
            <charset val="128"/>
          </rPr>
          <t>研修修了者の実人数を入力
（実人数を入力しなければ加算見込額が算出されません。）</t>
        </r>
      </text>
    </comment>
    <comment ref="H27" authorId="0" shapeId="0" xr:uid="{F5D76FA4-0A06-498C-874E-E24CC3D9F6F8}">
      <text>
        <r>
          <rPr>
            <sz val="12"/>
            <color indexed="81"/>
            <rFont val="MS P ゴシック"/>
            <family val="3"/>
            <charset val="128"/>
          </rPr>
          <t>研修修了者の実人数が算定人数に達していない場合は、実人数が人数Aとなります。</t>
        </r>
      </text>
    </comment>
    <comment ref="H28" authorId="0" shapeId="0" xr:uid="{571FCBC7-DA9C-4DDD-A0C2-85626FB06C71}">
      <text>
        <r>
          <rPr>
            <sz val="12"/>
            <color indexed="81"/>
            <rFont val="MS P ゴシック"/>
            <family val="3"/>
            <charset val="128"/>
          </rPr>
          <t>研修修了者の実人数が算定人数に達していない場合は、実人数が人数Bとなります。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<sst xmlns="http://schemas.openxmlformats.org/spreadsheetml/2006/main" count="374" uniqueCount="143">
  <si>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</si>
  <si>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</si>
  <si>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</si>
  <si>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</si>
  <si>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</si>
  <si>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</si>
  <si>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</si>
  <si>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</si>
  <si>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</si>
  <si>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</si>
  <si>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</si>
  <si>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t>１．加算対象人数の基礎となる職員数（人）</t>
    <rPh sb="2" eb="4">
      <t>カサン</t>
    </rPh>
    <rPh sb="4" eb="6">
      <t>タイショウ</t>
    </rPh>
    <rPh sb="6" eb="8">
      <t>ニンズウ</t>
    </rPh>
    <rPh sb="9" eb="11">
      <t>キソ</t>
    </rPh>
    <rPh sb="14" eb="17">
      <t>ショクインスウ</t>
    </rPh>
    <rPh sb="18" eb="19">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</si>
  <si>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</si>
  <si>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</si>
  <si>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</si>
  <si>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</si>
  <si>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年齢別配置基準による職員数（小数点第一位四捨五入）</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</si>
  <si>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</si>
  <si>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</si>
  <si>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</si>
  <si>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</si>
  <si>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</si>
  <si>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</si>
  <si>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</si>
  <si>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</si>
  <si>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</si>
  <si>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</si>
  <si>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給食実施加算（自園調理に限る。）</t>
    <rPh sb="0" eb="2">
      <t>キュウショク</t>
    </rPh>
    <rPh sb="2" eb="4">
      <t>ジッシ</t>
    </rPh>
    <rPh sb="4" eb="6">
      <t>カサン</t>
    </rPh>
    <rPh sb="7" eb="8">
      <t>ジ</t>
    </rPh>
    <rPh sb="8" eb="9">
      <t>エン</t>
    </rPh>
    <rPh sb="9" eb="11">
      <t>チョウリ</t>
    </rPh>
    <rPh sb="12" eb="13">
      <t>カギ</t>
    </rPh>
    <phoneticPr fontId="1"/>
  </si>
  <si>
    <t>ｆ</t>
    <phoneticPr fontId="1"/>
  </si>
  <si>
    <t>主幹教諭等専任加算</t>
    <rPh sb="0" eb="2">
      <t>シュカン</t>
    </rPh>
    <rPh sb="2" eb="4">
      <t>キョウユ</t>
    </rPh>
    <rPh sb="4" eb="5">
      <t>トウ</t>
    </rPh>
    <rPh sb="5" eb="7">
      <t>センニン</t>
    </rPh>
    <rPh sb="7" eb="9">
      <t>カサン</t>
    </rPh>
    <phoneticPr fontId="1"/>
  </si>
  <si>
    <t>ｇ</t>
    <phoneticPr fontId="1"/>
  </si>
  <si>
    <t>事務職員配置加算</t>
    <rPh sb="0" eb="2">
      <t>ジム</t>
    </rPh>
    <rPh sb="2" eb="4">
      <t>ショクイン</t>
    </rPh>
    <rPh sb="4" eb="6">
      <t>ハイチ</t>
    </rPh>
    <rPh sb="6" eb="8">
      <t>カサン</t>
    </rPh>
    <phoneticPr fontId="1"/>
  </si>
  <si>
    <t>ｈ</t>
    <phoneticPr fontId="1"/>
  </si>
  <si>
    <t>指導充実加配加算</t>
    <rPh sb="0" eb="2">
      <t>シドウ</t>
    </rPh>
    <rPh sb="2" eb="4">
      <t>ジュウジツ</t>
    </rPh>
    <rPh sb="4" eb="6">
      <t>カハイ</t>
    </rPh>
    <rPh sb="6" eb="8">
      <t>カサン</t>
    </rPh>
    <phoneticPr fontId="1"/>
  </si>
  <si>
    <t>i</t>
    <phoneticPr fontId="1"/>
  </si>
  <si>
    <t>事務負担対応加配加算</t>
    <rPh sb="0" eb="2">
      <t>ジム</t>
    </rPh>
    <rPh sb="2" eb="4">
      <t>フタン</t>
    </rPh>
    <rPh sb="4" eb="6">
      <t>タイオウ</t>
    </rPh>
    <rPh sb="6" eb="8">
      <t>カハイ</t>
    </rPh>
    <rPh sb="8" eb="10">
      <t>カサン</t>
    </rPh>
    <phoneticPr fontId="1"/>
  </si>
  <si>
    <t>ｊ</t>
    <phoneticPr fontId="1"/>
  </si>
  <si>
    <t>栄養管理加算</t>
    <rPh sb="0" eb="2">
      <t>エイヨウ</t>
    </rPh>
    <rPh sb="2" eb="4">
      <t>カンリ</t>
    </rPh>
    <rPh sb="4" eb="6">
      <t>カサン</t>
    </rPh>
    <phoneticPr fontId="1"/>
  </si>
  <si>
    <t>k</t>
    <phoneticPr fontId="1"/>
  </si>
  <si>
    <t>副園長・教頭配置加算</t>
    <rPh sb="0" eb="3">
      <t>フクエンチョウ</t>
    </rPh>
    <rPh sb="4" eb="6">
      <t>キョウトウ</t>
    </rPh>
    <rPh sb="6" eb="8">
      <t>ハイチ</t>
    </rPh>
    <rPh sb="8" eb="10">
      <t>カサン</t>
    </rPh>
    <phoneticPr fontId="1"/>
  </si>
  <si>
    <t>ｌ</t>
    <phoneticPr fontId="1"/>
  </si>
  <si>
    <t>利用定員数に基づく職員数</t>
    <rPh sb="0" eb="2">
      <t>リヨウ</t>
    </rPh>
    <rPh sb="2" eb="5">
      <t>テイインスウ</t>
    </rPh>
    <rPh sb="6" eb="7">
      <t>モト</t>
    </rPh>
    <rPh sb="9" eb="12">
      <t>ショクインスウ</t>
    </rPh>
    <phoneticPr fontId="1"/>
  </si>
  <si>
    <t>合計</t>
    <rPh sb="0" eb="2">
      <t>ゴウケイ</t>
    </rPh>
    <phoneticPr fontId="1"/>
  </si>
  <si>
    <t>職員数（1人未満端数　四捨五入）</t>
    <rPh sb="0" eb="3">
      <t>ショクインスウ</t>
    </rPh>
    <rPh sb="5" eb="6">
      <t>ニン</t>
    </rPh>
    <rPh sb="6" eb="8">
      <t>ミマン</t>
    </rPh>
    <rPh sb="8" eb="10">
      <t>ハスウ</t>
    </rPh>
    <rPh sb="11" eb="15">
      <t>シシャゴニュウ</t>
    </rPh>
    <phoneticPr fontId="1"/>
  </si>
  <si>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1"/>
  </si>
  <si>
    <t>２．加算対象職員数（人）</t>
    <rPh sb="2" eb="4">
      <t>カサン</t>
    </rPh>
    <rPh sb="4" eb="6">
      <t>タイショウ</t>
    </rPh>
    <rPh sb="6" eb="8">
      <t>ショクイン</t>
    </rPh>
    <rPh sb="8" eb="9">
      <t>スウ</t>
    </rPh>
    <rPh sb="10" eb="11">
      <t>ニン</t>
    </rPh>
    <phoneticPr fontId="1"/>
  </si>
  <si>
    <t>人数A（職員数の１／３）</t>
    <phoneticPr fontId="1"/>
  </si>
  <si>
    <t>人数B（職員数の１／５）</t>
    <rPh sb="0" eb="2">
      <t>ニンズウ</t>
    </rPh>
    <rPh sb="4" eb="6">
      <t>ショクイン</t>
    </rPh>
    <rPh sb="6" eb="7">
      <t>スウ</t>
    </rPh>
    <phoneticPr fontId="1"/>
  </si>
  <si>
    <t>（参考）加算見込額（円）</t>
    <rPh sb="1" eb="3">
      <t>サンコウ</t>
    </rPh>
    <rPh sb="4" eb="6">
      <t>カサン</t>
    </rPh>
    <rPh sb="6" eb="8">
      <t>ミコ</t>
    </rPh>
    <rPh sb="8" eb="9">
      <t>ガク</t>
    </rPh>
    <rPh sb="10" eb="11">
      <t>エン</t>
    </rPh>
    <phoneticPr fontId="1"/>
  </si>
  <si>
    <t>×人数A</t>
    <phoneticPr fontId="1"/>
  </si>
  <si>
    <t>×人数B</t>
    <phoneticPr fontId="1"/>
  </si>
  <si>
    <t>合計</t>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</si>
  <si>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</si>
  <si>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</si>
  <si>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</si>
  <si>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</si>
  <si>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</si>
  <si>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</si>
  <si>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</si>
  <si>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</si>
  <si>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</si>
  <si>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年齢別配置基準による職員数</t>
    <rPh sb="0" eb="3">
      <t>ネンレイベツ</t>
    </rPh>
    <rPh sb="3" eb="7">
      <t>ハイキ</t>
    </rPh>
    <rPh sb="10" eb="13">
      <t>ショクインスウ</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</si>
  <si>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</si>
  <si>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</si>
  <si>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</si>
  <si>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</si>
  <si>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</si>
  <si>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</si>
  <si>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</si>
  <si>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</si>
  <si>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g</t>
    <phoneticPr fontId="1"/>
  </si>
  <si>
    <t>利用定員数に基づく職員数</t>
    <rPh sb="0" eb="2">
      <t>リヨウ</t>
    </rPh>
    <rPh sb="2" eb="4">
      <t>テイイン</t>
    </rPh>
    <rPh sb="4" eb="5">
      <t>スウ</t>
    </rPh>
    <rPh sb="6" eb="7">
      <t>モト</t>
    </rPh>
    <rPh sb="9" eb="12">
      <t>ショクインスウ</t>
    </rPh>
    <phoneticPr fontId="1"/>
  </si>
  <si>
    <t>円　×　人数A</t>
    <rPh sb="0" eb="1">
      <t>エン</t>
    </rPh>
    <rPh sb="4" eb="6">
      <t>ニンズウ</t>
    </rPh>
    <phoneticPr fontId="1"/>
  </si>
  <si>
    <t>円　×　人数B</t>
    <rPh sb="0" eb="1">
      <t>エン</t>
    </rPh>
    <rPh sb="4" eb="6">
      <t>ニンズウ</t>
    </rPh>
    <phoneticPr fontId="1"/>
  </si>
  <si>
    <t>合　計</t>
    <rPh sb="0" eb="1">
      <t>ア</t>
    </rPh>
    <rPh sb="2" eb="3">
      <t>ケイ</t>
    </rPh>
    <phoneticPr fontId="1"/>
  </si>
  <si>
    <t>○○○認定こども園</t>
    <rPh sb="3" eb="5">
      <t>ニン</t>
    </rPh>
    <phoneticPr fontId="1"/>
  </si>
  <si>
    <t>１号</t>
    <rPh sb="1" eb="2">
      <t>ゴウ</t>
    </rPh>
    <phoneticPr fontId="1"/>
  </si>
  <si>
    <t>２・３号</t>
    <rPh sb="3" eb="4">
      <t>ゴウ</t>
    </rPh>
    <phoneticPr fontId="1"/>
  </si>
  <si>
    <t>　うち満３歳児</t>
    <rPh sb="3" eb="4">
      <t>マン</t>
    </rPh>
    <rPh sb="5" eb="7">
      <t>サイジ</t>
    </rPh>
    <phoneticPr fontId="1"/>
  </si>
  <si>
    <t>１．加算対象人数の基礎となる職員数</t>
    <rPh sb="2" eb="4">
      <t>カサン</t>
    </rPh>
    <rPh sb="4" eb="6">
      <t>タイショウ</t>
    </rPh>
    <rPh sb="6" eb="8">
      <t>ニンズウ</t>
    </rPh>
    <rPh sb="9" eb="11">
      <t>キソ</t>
    </rPh>
    <rPh sb="14" eb="17">
      <t>ショクインスウ</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</si>
  <si>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</si>
  <si>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</si>
  <si>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</si>
  <si>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</si>
  <si>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</si>
  <si>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</si>
  <si>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</si>
  <si>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</si>
  <si>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</si>
  <si>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</si>
  <si>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h</t>
    <phoneticPr fontId="1"/>
  </si>
  <si>
    <t>給食実施加算（自園調理に限る。）</t>
    <rPh sb="0" eb="2">
      <t>キュウショク</t>
    </rPh>
    <rPh sb="2" eb="4">
      <t>ジッシ</t>
    </rPh>
    <rPh sb="4" eb="6">
      <t>カサン</t>
    </rPh>
    <phoneticPr fontId="1"/>
  </si>
  <si>
    <t>j</t>
  </si>
  <si>
    <t>k</t>
  </si>
  <si>
    <t>l</t>
  </si>
  <si>
    <t>m</t>
  </si>
  <si>
    <t>n</t>
    <phoneticPr fontId="1"/>
  </si>
  <si>
    <t>o</t>
    <phoneticPr fontId="1"/>
  </si>
  <si>
    <t>p</t>
    <phoneticPr fontId="1"/>
  </si>
  <si>
    <t>該当</t>
  </si>
  <si>
    <t>q</t>
    <phoneticPr fontId="1"/>
  </si>
  <si>
    <t>年齢別配置基準を下回る場合</t>
    <rPh sb="0" eb="3">
      <t>ネンレイベツ</t>
    </rPh>
    <rPh sb="3" eb="7">
      <t>ハイキ</t>
    </rPh>
    <rPh sb="8" eb="10">
      <t>シタマワ</t>
    </rPh>
    <rPh sb="11" eb="13">
      <t>バアイ</t>
    </rPh>
    <phoneticPr fontId="1"/>
  </si>
  <si>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</si>
  <si>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</si>
  <si>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</si>
  <si>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</si>
  <si>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</si>
  <si>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</si>
  <si>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</si>
  <si>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</si>
  <si>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</si>
  <si>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なし</t>
  </si>
  <si>
    <t>利用定員数に基づく職員数</t>
  </si>
  <si>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</si>
  <si>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</si>
  <si>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</si>
  <si>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4歳以上児配置改善加算</t>
    <rPh sb="1" eb="4">
      <t>サイイジョウ</t>
    </rPh>
    <rPh sb="4" eb="5">
      <t>ジ</t>
    </rPh>
    <rPh sb="5" eb="7">
      <t>ハイチ</t>
    </rPh>
    <rPh sb="7" eb="9">
      <t>カイゼン</t>
    </rPh>
    <rPh sb="9" eb="11">
      <t>カサン</t>
    </rPh>
    <phoneticPr fontId="1"/>
  </si>
  <si>
    <t xml:space="preserve">  4歳以上児配置改善加算</t>
    <rPh sb="4" eb="6">
      <t>イジョウ</t>
    </rPh>
    <phoneticPr fontId="1"/>
  </si>
  <si>
    <t>　４歳以上児配置改善加算</t>
    <rPh sb="3" eb="5">
      <t>イジョウ</t>
    </rPh>
    <rPh sb="5" eb="6">
      <t>ジ</t>
    </rPh>
    <phoneticPr fontId="1"/>
  </si>
  <si>
    <t>分園分</t>
    <phoneticPr fontId="1"/>
  </si>
  <si>
    <t>　１歳児配置改善加算</t>
    <phoneticPr fontId="1"/>
  </si>
  <si>
    <t>　うち１歳児</t>
    <rPh sb="4" eb="6">
      <t>サイジ</t>
    </rPh>
    <phoneticPr fontId="1"/>
  </si>
  <si>
    <t xml:space="preserve">  1歳児配置改善加算</t>
    <rPh sb="3" eb="5">
      <t>サイジ</t>
    </rPh>
    <rPh sb="5" eb="7">
      <t>ハイチ</t>
    </rPh>
    <rPh sb="7" eb="9">
      <t>カイゼン</t>
    </rPh>
    <rPh sb="9" eb="11">
      <t>カサン</t>
    </rPh>
    <phoneticPr fontId="1"/>
  </si>
  <si>
    <t>実人数</t>
    <rPh sb="0" eb="3">
      <t>ジツニンズウ</t>
    </rPh>
    <phoneticPr fontId="1"/>
  </si>
  <si>
    <t>算定人数</t>
    <rPh sb="0" eb="2">
      <t>サンテイ</t>
    </rPh>
    <rPh sb="2" eb="4">
      <t>ニンズウ</t>
    </rPh>
    <phoneticPr fontId="1"/>
  </si>
  <si>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1"/>
  </si>
  <si>
    <r>
      <t>年齢別配置基準</t>
    </r>
    <r>
      <rPr>
        <sz val="11"/>
        <rFont val="HG丸ｺﾞｼｯｸM-PRO"/>
        <family val="3"/>
        <charset val="128"/>
      </rPr>
      <t>を下回る場合</t>
    </r>
    <rPh sb="0" eb="2">
      <t>ネンレイ</t>
    </rPh>
    <rPh sb="2" eb="3">
      <t>ベツ</t>
    </rPh>
    <rPh sb="3" eb="5">
      <t>ハイチ</t>
    </rPh>
    <rPh sb="5" eb="7">
      <t>キジュン</t>
    </rPh>
    <phoneticPr fontId="1"/>
  </si>
  <si>
    <t>２．加算算定対象人数（人）</t>
    <rPh sb="2" eb="4">
      <t>カサン</t>
    </rPh>
    <rPh sb="4" eb="6">
      <t>サンテイ</t>
    </rPh>
    <rPh sb="6" eb="8">
      <t>タイショウ</t>
    </rPh>
    <rPh sb="8" eb="10">
      <t>ニンズウ</t>
    </rPh>
    <rPh sb="11" eb="12">
      <t>ニン</t>
    </rPh>
    <phoneticPr fontId="1"/>
  </si>
  <si>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1"/>
  </si>
  <si>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1"/>
  </si>
  <si>
    <t>事務職員雇上費加算</t>
    <rPh sb="0" eb="2">
      <t>ジム</t>
    </rPh>
    <rPh sb="2" eb="4">
      <t>ショクイン</t>
    </rPh>
    <rPh sb="4" eb="5">
      <t>ヤト</t>
    </rPh>
    <rPh sb="5" eb="6">
      <t>ア</t>
    </rPh>
    <rPh sb="6" eb="7">
      <t>ヒ</t>
    </rPh>
    <rPh sb="7" eb="9">
      <t>カサン</t>
    </rPh>
    <phoneticPr fontId="1"/>
  </si>
  <si>
    <t>処遇改善等加算区分３　加算算定対象人数計算表（認定こども園）</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rPh sb="23" eb="25">
      <t>ニン</t>
    </rPh>
    <phoneticPr fontId="1"/>
  </si>
  <si>
    <t>主幹保育教諭等の専任化により子育て支援の取組を実施していない場合であって、代替保育教諭等を配置していない場合</t>
    <rPh sb="0" eb="2">
      <t>シュカン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</si>
  <si>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1"/>
  </si>
  <si>
    <t>（小規模保育事業A型、Ｂ型）</t>
    <rPh sb="6" eb="8">
      <t>ジギョウ</t>
    </rPh>
    <phoneticPr fontId="1"/>
  </si>
  <si>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1"/>
  </si>
  <si>
    <t xml:space="preserve">  1歳児配置改善加算
※障害児保育加算ありの場合障害児を除いた数</t>
    <rPh sb="3" eb="5">
      <t>サイジ</t>
    </rPh>
    <rPh sb="5" eb="7">
      <t>ハイチ</t>
    </rPh>
    <rPh sb="7" eb="9">
      <t>カイゼン</t>
    </rPh>
    <rPh sb="9" eb="11">
      <t>カサン</t>
    </rPh>
    <phoneticPr fontId="1"/>
  </si>
  <si>
    <t>保育標準時間認定の子ども</t>
    <rPh sb="0" eb="2">
      <t>ホイク</t>
    </rPh>
    <rPh sb="2" eb="4">
      <t>ヒョウジュン</t>
    </rPh>
    <rPh sb="4" eb="6">
      <t>ジカン</t>
    </rPh>
    <rPh sb="6" eb="8">
      <t>ニンテイ</t>
    </rPh>
    <rPh sb="9" eb="10">
      <t>コ</t>
    </rPh>
    <phoneticPr fontId="1"/>
  </si>
  <si>
    <t>（事業所内保育事業　定員２０人以上）</t>
    <rPh sb="1" eb="4">
      <t>ジギョウショ</t>
    </rPh>
    <rPh sb="4" eb="5">
      <t>ナイ</t>
    </rPh>
    <rPh sb="10" eb="12">
      <t>テイイン</t>
    </rPh>
    <rPh sb="14" eb="17">
      <t>ニンイジョウ</t>
    </rPh>
    <phoneticPr fontId="1"/>
  </si>
  <si>
    <t>（小規模保育事業Ｃ型）</t>
    <phoneticPr fontId="1"/>
  </si>
  <si>
    <r>
      <t>利用子ども数</t>
    </r>
    <r>
      <rPr>
        <sz val="11"/>
        <color rgb="FFFF0000"/>
        <rFont val="HG丸ｺﾞｼｯｸM-PRO"/>
        <family val="3"/>
        <charset val="128"/>
      </rPr>
      <t>（特例給付対象児童含む）</t>
    </r>
    <rPh sb="0" eb="3">
      <t>リヨウコ</t>
    </rPh>
    <phoneticPr fontId="1"/>
  </si>
  <si>
    <t>　家庭的保育補助者配置</t>
    <rPh sb="1" eb="4">
      <t>カテイテキ</t>
    </rPh>
    <rPh sb="4" eb="6">
      <t>ホイク</t>
    </rPh>
    <rPh sb="6" eb="9">
      <t>ホジョシャ</t>
    </rPh>
    <rPh sb="9" eb="11">
      <t>ハイチ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</si>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</sst>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4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theme="0"/>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
      <sz val="11"/>
      <color theme="8"/>
      <name val="HG丸ｺﾞｼｯｸM-PRO"/>
      <family val="3"/>
      <charset val="128"/>
    </font>
    <font>
      <sz val="11"/>
      <color theme="2"/>
      <name val="HG丸ｺﾞｼｯｸM-PRO"/>
      <family val="3"/>
      <charset val="128"/>
    </font>
    <font>
      <sz val="10"/>
      <color theme="2"/>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sz val="11"/>
      <name val="游ゴシック"/>
      <family val="2"/>
      <charset val="128"/>
      <scheme val="minor"/>
    </font>
    <font>
      <sz val="9"/>
      <color indexed="81"/>
      <name val="MS P ゴシック"/>
      <family val="3"/>
      <charset val="128"/>
    </font>
    <font>
      <b/>
      <sz val="11"/>
      <name val="HG丸ｺﾞｼｯｸM-PRO"/>
      <family val="3"/>
    </font>
    <font>
      <b/>
      <sz val="11"/>
      <color theme="1"/>
      <name val="HG丸ｺﾞｼｯｸM-PRO"/>
      <family val="3"/>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s>
  <borders count="1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double">
        <color indexed="64"/>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68">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89" xfId="0" applyNumberFormat="1" applyFont="1" applyFill="1" applyBorder="1" applyAlignment="1" applyProtection="1">
      <alignment horizontal="right" vertical="center"/>
      <protection locked="0"/>
    </xf>
    <xf numFmtId="0" fontId="5" fillId="4" borderId="4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8" xfId="0" applyFont="1" applyBorder="1" applyProtection="1">
      <alignment vertical="center"/>
      <protection locked="0"/>
    </xf>
    <xf numFmtId="176" fontId="5" fillId="0" borderId="79" xfId="0" applyNumberFormat="1" applyFont="1" applyBorder="1" applyAlignment="1" applyProtection="1">
      <alignment horizontal="right" vertical="center"/>
      <protection locked="0"/>
    </xf>
    <xf numFmtId="0" fontId="8"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5" fillId="0" borderId="10" xfId="0" applyFont="1" applyBorder="1" applyProtection="1">
      <alignment vertical="center"/>
      <protection locked="0"/>
    </xf>
    <xf numFmtId="0" fontId="11" fillId="0" borderId="13" xfId="0" applyFont="1" applyBorder="1" applyProtection="1">
      <alignment vertical="center"/>
      <protection locked="0"/>
    </xf>
    <xf numFmtId="176" fontId="11" fillId="0" borderId="9" xfId="0" applyNumberFormat="1" applyFont="1" applyBorder="1" applyProtection="1">
      <alignment vertical="center"/>
      <protection locked="0"/>
    </xf>
    <xf numFmtId="0" fontId="8" fillId="0" borderId="0" xfId="0" applyFont="1" applyProtection="1">
      <alignment vertical="center"/>
      <protection locked="0"/>
    </xf>
    <xf numFmtId="176" fontId="10" fillId="0" borderId="0" xfId="0" applyNumberFormat="1" applyFont="1" applyProtection="1">
      <alignment vertical="center"/>
      <protection locked="0"/>
    </xf>
    <xf numFmtId="177" fontId="5" fillId="0" borderId="0" xfId="0" applyNumberFormat="1" applyFont="1" applyProtection="1">
      <alignment vertical="center"/>
      <protection locked="0"/>
    </xf>
    <xf numFmtId="176" fontId="6" fillId="0" borderId="0" xfId="0" applyNumberFormat="1" applyFont="1" applyProtection="1">
      <alignment vertical="center"/>
      <protection locked="0"/>
    </xf>
    <xf numFmtId="0" fontId="14" fillId="0" borderId="78" xfId="0" applyFont="1" applyBorder="1" applyProtection="1">
      <alignment vertical="center"/>
      <protection locked="0"/>
    </xf>
    <xf numFmtId="0" fontId="14" fillId="0" borderId="13" xfId="0" applyFont="1" applyBorder="1" applyProtection="1">
      <alignment vertical="center"/>
      <protection locked="0"/>
    </xf>
    <xf numFmtId="178" fontId="10" fillId="2" borderId="1" xfId="0" applyNumberFormat="1" applyFont="1" applyFill="1" applyBorder="1" applyProtection="1">
      <alignment vertical="center"/>
      <protection locked="0"/>
    </xf>
    <xf numFmtId="0" fontId="14" fillId="0" borderId="57" xfId="0" applyFont="1" applyBorder="1" applyProtection="1">
      <alignment vertical="center"/>
      <protection locked="0"/>
    </xf>
    <xf numFmtId="0" fontId="14" fillId="0" borderId="10" xfId="0" applyFont="1" applyBorder="1" applyProtection="1">
      <alignment vertical="center"/>
      <protection locked="0"/>
    </xf>
    <xf numFmtId="38" fontId="14"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0" fontId="14" fillId="0" borderId="90" xfId="0" applyFont="1" applyBorder="1" applyProtection="1">
      <alignment vertical="center"/>
      <protection locked="0"/>
    </xf>
    <xf numFmtId="38" fontId="14" fillId="0" borderId="91" xfId="1" applyFont="1" applyBorder="1" applyProtection="1">
      <alignment vertical="center"/>
      <protection locked="0"/>
    </xf>
    <xf numFmtId="0" fontId="14" fillId="0" borderId="91" xfId="0" applyFont="1" applyBorder="1" applyProtection="1">
      <alignment vertical="center"/>
      <protection locked="0"/>
    </xf>
    <xf numFmtId="176" fontId="22" fillId="0" borderId="91" xfId="0" applyNumberFormat="1" applyFont="1" applyBorder="1" applyProtection="1">
      <alignment vertical="center"/>
      <protection locked="0"/>
    </xf>
    <xf numFmtId="0" fontId="22" fillId="0" borderId="57" xfId="0" applyFont="1" applyBorder="1" applyProtection="1">
      <alignment vertical="center"/>
      <protection locked="0"/>
    </xf>
    <xf numFmtId="0" fontId="14" fillId="0" borderId="62" xfId="0" applyFont="1" applyBorder="1" applyAlignment="1" applyProtection="1">
      <alignment horizontal="right" vertical="center"/>
      <protection locked="0"/>
    </xf>
    <xf numFmtId="0" fontId="22" fillId="0" borderId="62" xfId="0" applyFont="1" applyBorder="1" applyProtection="1">
      <alignment vertical="center"/>
      <protection locked="0"/>
    </xf>
    <xf numFmtId="176" fontId="22" fillId="0" borderId="62" xfId="0" applyNumberFormat="1" applyFont="1" applyBorder="1" applyProtection="1">
      <alignment vertical="center"/>
      <protection locked="0"/>
    </xf>
    <xf numFmtId="176" fontId="5" fillId="0" borderId="27" xfId="0" applyNumberFormat="1" applyFont="1" applyBorder="1">
      <alignment vertical="center"/>
    </xf>
    <xf numFmtId="177" fontId="7" fillId="0" borderId="20" xfId="0" applyNumberFormat="1" applyFont="1" applyBorder="1">
      <alignment vertical="center"/>
    </xf>
    <xf numFmtId="178" fontId="10" fillId="2" borderId="37" xfId="0" applyNumberFormat="1" applyFont="1" applyFill="1" applyBorder="1">
      <alignment vertical="center"/>
    </xf>
    <xf numFmtId="177" fontId="13" fillId="3" borderId="38" xfId="0" applyNumberFormat="1" applyFont="1" applyFill="1" applyBorder="1">
      <alignment vertical="center"/>
    </xf>
    <xf numFmtId="178" fontId="10" fillId="2" borderId="46" xfId="0" applyNumberFormat="1" applyFont="1" applyFill="1" applyBorder="1">
      <alignment vertical="center"/>
    </xf>
    <xf numFmtId="177" fontId="13" fillId="3" borderId="47" xfId="0" applyNumberFormat="1" applyFont="1" applyFill="1" applyBorder="1">
      <alignment vertical="center"/>
    </xf>
    <xf numFmtId="179" fontId="10" fillId="0" borderId="28" xfId="0" applyNumberFormat="1" applyFont="1" applyBorder="1">
      <alignment vertical="center"/>
    </xf>
    <xf numFmtId="177" fontId="8" fillId="3" borderId="21" xfId="0" applyNumberFormat="1" applyFont="1" applyFill="1" applyBorder="1">
      <alignment vertical="center"/>
    </xf>
    <xf numFmtId="176" fontId="10"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7" xfId="0" applyNumberFormat="1" applyFont="1" applyBorder="1">
      <alignment vertical="center"/>
    </xf>
    <xf numFmtId="177" fontId="5" fillId="3" borderId="79" xfId="0" applyNumberFormat="1" applyFont="1" applyFill="1" applyBorder="1">
      <alignment vertical="center"/>
    </xf>
    <xf numFmtId="176" fontId="10" fillId="0" borderId="18" xfId="0" applyNumberFormat="1" applyFont="1" applyBorder="1">
      <alignment vertical="center"/>
    </xf>
    <xf numFmtId="177" fontId="8" fillId="3" borderId="15" xfId="0" applyNumberFormat="1" applyFont="1" applyFill="1" applyBorder="1">
      <alignment vertical="center"/>
    </xf>
    <xf numFmtId="176" fontId="16" fillId="0" borderId="10" xfId="0" applyNumberFormat="1" applyFont="1" applyBorder="1">
      <alignment vertical="center"/>
    </xf>
    <xf numFmtId="177" fontId="14" fillId="3" borderId="9" xfId="0" applyNumberFormat="1" applyFont="1" applyFill="1" applyBorder="1">
      <alignment vertical="center"/>
    </xf>
    <xf numFmtId="176" fontId="10" fillId="0" borderId="0" xfId="0" applyNumberFormat="1" applyFont="1">
      <alignment vertical="center"/>
    </xf>
    <xf numFmtId="177" fontId="5" fillId="0" borderId="0" xfId="0" applyNumberFormat="1" applyFont="1">
      <alignment vertical="center"/>
    </xf>
    <xf numFmtId="176" fontId="5" fillId="0" borderId="0" xfId="0" applyNumberFormat="1" applyFont="1">
      <alignment vertical="center"/>
    </xf>
    <xf numFmtId="178" fontId="10" fillId="2" borderId="1" xfId="0" applyNumberFormat="1" applyFont="1" applyFill="1" applyBorder="1">
      <alignment vertical="center"/>
    </xf>
    <xf numFmtId="176" fontId="15" fillId="3" borderId="1" xfId="0" applyNumberFormat="1" applyFont="1" applyFill="1" applyBorder="1">
      <alignment vertical="center"/>
    </xf>
    <xf numFmtId="176" fontId="22" fillId="0" borderId="13" xfId="0" applyNumberFormat="1" applyFont="1" applyBorder="1">
      <alignment vertical="center"/>
    </xf>
    <xf numFmtId="176" fontId="22" fillId="0" borderId="91" xfId="0" applyNumberFormat="1" applyFont="1" applyBorder="1">
      <alignment vertical="center"/>
    </xf>
    <xf numFmtId="176" fontId="22" fillId="0" borderId="62" xfId="0" applyNumberFormat="1" applyFont="1" applyBorder="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5" xfId="0" applyFont="1" applyBorder="1" applyProtection="1">
      <alignment vertical="center"/>
      <protection locked="0"/>
    </xf>
    <xf numFmtId="0" fontId="5" fillId="0" borderId="24" xfId="0" applyFont="1" applyBorder="1" applyProtection="1">
      <alignment vertical="center"/>
      <protection locked="0"/>
    </xf>
    <xf numFmtId="0" fontId="5" fillId="0" borderId="29" xfId="0" applyFont="1" applyBorder="1" applyAlignment="1" applyProtection="1">
      <alignment horizontal="right" vertical="center"/>
      <protection locked="0"/>
    </xf>
    <xf numFmtId="0" fontId="5" fillId="4" borderId="31" xfId="0" applyFont="1" applyFill="1" applyBorder="1" applyAlignment="1" applyProtection="1">
      <alignment horizontal="center" vertical="center"/>
      <protection locked="0"/>
    </xf>
    <xf numFmtId="176" fontId="6" fillId="0" borderId="33"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176" fontId="6" fillId="0" borderId="94" xfId="0" applyNumberFormat="1" applyFont="1" applyBorder="1" applyProtection="1">
      <alignment vertical="center"/>
      <protection locked="0"/>
    </xf>
    <xf numFmtId="178" fontId="10" fillId="0" borderId="0" xfId="0" applyNumberFormat="1" applyFont="1" applyProtection="1">
      <alignment vertical="center"/>
      <protection locked="0"/>
    </xf>
    <xf numFmtId="178" fontId="5" fillId="0" borderId="0" xfId="0" applyNumberFormat="1" applyFont="1" applyProtection="1">
      <alignment vertical="center"/>
      <protection locked="0"/>
    </xf>
    <xf numFmtId="176" fontId="5" fillId="0" borderId="13" xfId="0" applyNumberFormat="1" applyFont="1" applyBorder="1" applyProtection="1">
      <alignment vertical="center"/>
      <protection locked="0"/>
    </xf>
    <xf numFmtId="0" fontId="11" fillId="0" borderId="91" xfId="0" applyFont="1" applyBorder="1" applyProtection="1">
      <alignment vertical="center"/>
      <protection locked="0"/>
    </xf>
    <xf numFmtId="176" fontId="5" fillId="0" borderId="91" xfId="0" applyNumberFormat="1" applyFont="1" applyBorder="1" applyProtection="1">
      <alignment vertical="center"/>
      <protection locked="0"/>
    </xf>
    <xf numFmtId="178" fontId="10" fillId="2" borderId="32" xfId="0" applyNumberFormat="1" applyFont="1" applyFill="1" applyBorder="1">
      <alignment vertical="center"/>
    </xf>
    <xf numFmtId="177" fontId="13" fillId="3" borderId="33" xfId="0" applyNumberFormat="1" applyFont="1" applyFill="1" applyBorder="1">
      <alignment vertical="center"/>
    </xf>
    <xf numFmtId="178" fontId="10" fillId="0" borderId="42" xfId="0" applyNumberFormat="1" applyFont="1" applyBorder="1">
      <alignment vertical="center"/>
    </xf>
    <xf numFmtId="177" fontId="13" fillId="0" borderId="94" xfId="0" applyNumberFormat="1" applyFont="1" applyBorder="1">
      <alignment vertical="center"/>
    </xf>
    <xf numFmtId="178" fontId="10" fillId="0" borderId="55" xfId="0" applyNumberFormat="1" applyFont="1" applyBorder="1">
      <alignment vertical="center"/>
    </xf>
    <xf numFmtId="177" fontId="13" fillId="0" borderId="56" xfId="0" applyNumberFormat="1" applyFont="1" applyBorder="1">
      <alignment vertical="center"/>
    </xf>
    <xf numFmtId="178" fontId="10" fillId="2" borderId="55" xfId="0" applyNumberFormat="1" applyFont="1" applyFill="1" applyBorder="1">
      <alignment vertical="center"/>
    </xf>
    <xf numFmtId="177" fontId="13" fillId="3" borderId="56" xfId="0" applyNumberFormat="1" applyFont="1" applyFill="1" applyBorder="1">
      <alignment vertical="center"/>
    </xf>
    <xf numFmtId="178" fontId="10" fillId="0" borderId="28" xfId="0" applyNumberFormat="1" applyFont="1" applyBorder="1">
      <alignment vertical="center"/>
    </xf>
    <xf numFmtId="178" fontId="10" fillId="0" borderId="32" xfId="0" applyNumberFormat="1" applyFont="1" applyBorder="1">
      <alignment vertical="center"/>
    </xf>
    <xf numFmtId="177" fontId="5" fillId="3" borderId="33" xfId="0" applyNumberFormat="1" applyFont="1" applyFill="1" applyBorder="1">
      <alignment vertical="center"/>
    </xf>
    <xf numFmtId="180" fontId="5" fillId="3" borderId="94" xfId="0" applyNumberFormat="1" applyFont="1" applyFill="1" applyBorder="1">
      <alignment vertical="center"/>
    </xf>
    <xf numFmtId="177" fontId="5" fillId="0" borderId="79" xfId="0" applyNumberFormat="1" applyFont="1" applyBorder="1">
      <alignment vertical="center"/>
    </xf>
    <xf numFmtId="178" fontId="10" fillId="0" borderId="18" xfId="0" applyNumberFormat="1" applyFont="1" applyBorder="1">
      <alignment vertical="center"/>
    </xf>
    <xf numFmtId="178" fontId="16" fillId="0" borderId="10" xfId="0" applyNumberFormat="1" applyFont="1" applyBorder="1">
      <alignment vertical="center"/>
    </xf>
    <xf numFmtId="0" fontId="5" fillId="4" borderId="34" xfId="0" applyFont="1" applyFill="1" applyBorder="1" applyAlignment="1" applyProtection="1">
      <alignment horizontal="center" vertical="center"/>
      <protection locked="0"/>
    </xf>
    <xf numFmtId="0" fontId="5" fillId="0" borderId="49" xfId="0" applyFont="1" applyBorder="1" applyProtection="1">
      <alignment vertical="center"/>
      <protection locked="0"/>
    </xf>
    <xf numFmtId="176" fontId="5" fillId="0" borderId="52"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9" fontId="10" fillId="0" borderId="51" xfId="0" applyNumberFormat="1" applyFont="1" applyBorder="1">
      <alignment vertical="center"/>
    </xf>
    <xf numFmtId="177" fontId="13" fillId="3" borderId="52" xfId="0" applyNumberFormat="1" applyFont="1" applyFill="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5"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75"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40" xfId="0" applyFont="1" applyBorder="1" applyProtection="1">
      <alignment vertical="center"/>
      <protection locked="0"/>
    </xf>
    <xf numFmtId="0" fontId="5" fillId="5" borderId="77"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5" xfId="0" applyNumberFormat="1" applyFont="1" applyBorder="1" applyProtection="1">
      <alignment vertical="center"/>
      <protection locked="0"/>
    </xf>
    <xf numFmtId="0" fontId="5" fillId="0" borderId="36" xfId="0" applyFont="1" applyBorder="1" applyProtection="1">
      <alignment vertical="center"/>
      <protection locked="0"/>
    </xf>
    <xf numFmtId="176" fontId="20" fillId="0" borderId="96" xfId="0" applyNumberFormat="1" applyFont="1" applyBorder="1" applyAlignment="1" applyProtection="1">
      <alignment horizontal="right" vertical="center"/>
      <protection locked="0"/>
    </xf>
    <xf numFmtId="0" fontId="5" fillId="0" borderId="53" xfId="0" applyFont="1" applyBorder="1" applyProtection="1">
      <alignment vertical="center"/>
      <protection locked="0"/>
    </xf>
    <xf numFmtId="0" fontId="5" fillId="0" borderId="11" xfId="0"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Protection="1">
      <alignmen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86" xfId="0" applyFont="1" applyBorder="1" applyAlignment="1" applyProtection="1">
      <alignment horizontal="center" vertical="center"/>
      <protection locked="0"/>
    </xf>
    <xf numFmtId="176" fontId="6" fillId="0" borderId="52" xfId="0" applyNumberFormat="1" applyFont="1" applyBorder="1" applyProtection="1">
      <alignment vertical="center"/>
      <protection locked="0"/>
    </xf>
    <xf numFmtId="176" fontId="5" fillId="0" borderId="62" xfId="0" applyNumberFormat="1" applyFont="1" applyBorder="1" applyProtection="1">
      <alignment vertical="center"/>
      <protection locked="0"/>
    </xf>
    <xf numFmtId="38" fontId="14" fillId="0" borderId="10" xfId="1" applyFont="1" applyBorder="1" applyProtection="1">
      <alignment vertical="center"/>
      <protection locked="0"/>
    </xf>
    <xf numFmtId="38" fontId="14" fillId="0" borderId="13" xfId="1" applyFont="1" applyFill="1" applyBorder="1" applyProtection="1">
      <alignment vertical="center"/>
      <protection locked="0"/>
    </xf>
    <xf numFmtId="38" fontId="22" fillId="0" borderId="13" xfId="1" applyFont="1" applyBorder="1" applyProtection="1">
      <alignment vertical="center"/>
      <protection locked="0"/>
    </xf>
    <xf numFmtId="38" fontId="14" fillId="0" borderId="90" xfId="1" applyFont="1" applyBorder="1" applyProtection="1">
      <alignment vertical="center"/>
      <protection locked="0"/>
    </xf>
    <xf numFmtId="38" fontId="14" fillId="0" borderId="91" xfId="1" applyFont="1" applyFill="1" applyBorder="1" applyProtection="1">
      <alignment vertical="center"/>
      <protection locked="0"/>
    </xf>
    <xf numFmtId="38" fontId="22" fillId="0" borderId="91" xfId="1" applyFont="1" applyBorder="1" applyProtection="1">
      <alignment vertical="center"/>
      <protection locked="0"/>
    </xf>
    <xf numFmtId="38" fontId="22" fillId="0" borderId="57" xfId="1" applyFont="1" applyBorder="1" applyProtection="1">
      <alignment vertical="center"/>
      <protection locked="0"/>
    </xf>
    <xf numFmtId="38" fontId="14" fillId="0" borderId="62" xfId="1" applyFont="1" applyBorder="1" applyAlignment="1" applyProtection="1">
      <alignment horizontal="center" vertical="center"/>
      <protection locked="0"/>
    </xf>
    <xf numFmtId="38" fontId="22" fillId="0" borderId="62" xfId="1" applyFont="1" applyBorder="1" applyProtection="1">
      <alignment vertical="center"/>
      <protection locked="0"/>
    </xf>
    <xf numFmtId="176" fontId="5" fillId="2" borderId="101" xfId="0" applyNumberFormat="1" applyFont="1" applyFill="1" applyBorder="1" applyAlignment="1">
      <alignment horizontal="right" vertical="center"/>
    </xf>
    <xf numFmtId="0" fontId="5" fillId="2" borderId="101" xfId="0" applyFont="1" applyFill="1" applyBorder="1" applyAlignment="1">
      <alignment horizontal="right" vertical="center"/>
    </xf>
    <xf numFmtId="176" fontId="20" fillId="2" borderId="95" xfId="0" applyNumberFormat="1" applyFont="1" applyFill="1" applyBorder="1" applyAlignment="1">
      <alignment horizontal="right" vertical="center"/>
    </xf>
    <xf numFmtId="176" fontId="20" fillId="2" borderId="96" xfId="0" applyNumberFormat="1" applyFont="1" applyFill="1" applyBorder="1" applyAlignment="1">
      <alignment horizontal="right" vertical="center"/>
    </xf>
    <xf numFmtId="176" fontId="20" fillId="2" borderId="99" xfId="0" applyNumberFormat="1" applyFont="1" applyFill="1" applyBorder="1" applyAlignment="1">
      <alignment horizontal="right" vertical="center"/>
    </xf>
    <xf numFmtId="176" fontId="20" fillId="2" borderId="97" xfId="0" applyNumberFormat="1" applyFont="1" applyFill="1" applyBorder="1" applyAlignment="1">
      <alignment horizontal="right" vertical="center"/>
    </xf>
    <xf numFmtId="178" fontId="10" fillId="0" borderId="37" xfId="0" applyNumberFormat="1" applyFont="1" applyBorder="1">
      <alignment vertical="center"/>
    </xf>
    <xf numFmtId="177" fontId="13" fillId="0" borderId="38" xfId="0" applyNumberFormat="1" applyFont="1" applyBorder="1">
      <alignment vertical="center"/>
    </xf>
    <xf numFmtId="176" fontId="5" fillId="0" borderId="26" xfId="0" applyNumberFormat="1" applyFont="1" applyBorder="1">
      <alignment vertical="center"/>
    </xf>
    <xf numFmtId="176" fontId="20" fillId="2" borderId="87" xfId="0" applyNumberFormat="1" applyFont="1" applyFill="1" applyBorder="1" applyAlignment="1">
      <alignment horizontal="righ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3" xfId="0" applyNumberFormat="1" applyFont="1" applyBorder="1" applyProtection="1">
      <alignment vertical="center"/>
      <protection locked="0"/>
    </xf>
    <xf numFmtId="0" fontId="5" fillId="0" borderId="84" xfId="0" applyFont="1" applyBorder="1" applyProtection="1">
      <alignmen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2" xfId="0" applyFont="1" applyBorder="1" applyProtection="1">
      <alignment vertical="center"/>
      <protection locked="0"/>
    </xf>
    <xf numFmtId="0" fontId="5" fillId="0" borderId="15" xfId="0" applyFont="1" applyBorder="1" applyProtection="1">
      <alignment vertical="center"/>
      <protection locked="0"/>
    </xf>
    <xf numFmtId="0" fontId="15" fillId="0" borderId="13" xfId="0" applyFont="1" applyBorder="1" applyProtection="1">
      <alignment vertical="center"/>
      <protection locked="0"/>
    </xf>
    <xf numFmtId="0" fontId="11" fillId="0" borderId="9" xfId="0" applyFont="1" applyBorder="1" applyProtection="1">
      <alignment vertical="center"/>
      <protection locked="0"/>
    </xf>
    <xf numFmtId="176" fontId="11" fillId="0" borderId="13" xfId="0" applyNumberFormat="1" applyFont="1" applyBorder="1" applyProtection="1">
      <alignment vertical="center"/>
      <protection locked="0"/>
    </xf>
    <xf numFmtId="176" fontId="11" fillId="0" borderId="91" xfId="0" applyNumberFormat="1" applyFont="1" applyBorder="1" applyProtection="1">
      <alignment vertical="center"/>
      <protection locked="0"/>
    </xf>
    <xf numFmtId="0" fontId="14" fillId="0" borderId="62" xfId="0" applyFont="1" applyBorder="1" applyAlignment="1" applyProtection="1">
      <alignment horizontal="center" vertical="center"/>
      <protection locked="0"/>
    </xf>
    <xf numFmtId="177" fontId="7" fillId="0" borderId="19" xfId="0" applyNumberFormat="1" applyFont="1" applyBorder="1">
      <alignment vertical="center"/>
    </xf>
    <xf numFmtId="176" fontId="10" fillId="0" borderId="51" xfId="0" applyNumberFormat="1" applyFont="1" applyBorder="1">
      <alignment vertical="center"/>
    </xf>
    <xf numFmtId="177" fontId="5" fillId="3" borderId="52" xfId="0" applyNumberFormat="1" applyFont="1" applyFill="1" applyBorder="1">
      <alignment vertical="center"/>
    </xf>
    <xf numFmtId="176" fontId="14" fillId="3" borderId="9" xfId="0" applyNumberFormat="1" applyFont="1" applyFill="1" applyBorder="1">
      <alignment vertical="center"/>
    </xf>
    <xf numFmtId="0" fontId="5" fillId="0" borderId="61" xfId="0" applyFont="1" applyBorder="1" applyAlignment="1" applyProtection="1">
      <alignment horizontal="center" vertical="center"/>
      <protection locked="0"/>
    </xf>
    <xf numFmtId="0" fontId="5" fillId="5" borderId="73"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9" xfId="0" applyFont="1" applyBorder="1" applyAlignment="1" applyProtection="1">
      <alignment horizontal="center" vertical="center" wrapText="1"/>
      <protection locked="0"/>
    </xf>
    <xf numFmtId="176" fontId="5" fillId="0" borderId="6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70"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69" xfId="0" applyFont="1" applyBorder="1" applyProtection="1">
      <alignment vertical="center"/>
      <protection locked="0"/>
    </xf>
    <xf numFmtId="0" fontId="5" fillId="0" borderId="63" xfId="0" applyFont="1" applyBorder="1" applyProtection="1">
      <alignment vertical="center"/>
      <protection locked="0"/>
    </xf>
    <xf numFmtId="0" fontId="5" fillId="0" borderId="66" xfId="0" applyFont="1" applyBorder="1" applyProtection="1">
      <alignment vertical="center"/>
      <protection locked="0"/>
    </xf>
    <xf numFmtId="0" fontId="8" fillId="0" borderId="57" xfId="0" applyFont="1" applyBorder="1" applyProtection="1">
      <alignment vertical="center"/>
      <protection locked="0"/>
    </xf>
    <xf numFmtId="0" fontId="5" fillId="0" borderId="62" xfId="0" applyFont="1" applyBorder="1" applyProtection="1">
      <alignment vertical="center"/>
      <protection locked="0"/>
    </xf>
    <xf numFmtId="176" fontId="5" fillId="0" borderId="0" xfId="0" applyNumberFormat="1" applyFont="1" applyAlignment="1" applyProtection="1">
      <alignment horizontal="center" vertical="center"/>
      <protection locked="0"/>
    </xf>
    <xf numFmtId="0" fontId="11" fillId="0" borderId="10" xfId="0" applyFont="1" applyBorder="1" applyProtection="1">
      <alignment vertical="center"/>
      <protection locked="0"/>
    </xf>
    <xf numFmtId="0" fontId="5" fillId="2" borderId="74" xfId="0" applyFont="1" applyFill="1" applyBorder="1" applyAlignment="1">
      <alignment horizontal="right" vertical="center"/>
    </xf>
    <xf numFmtId="176" fontId="5" fillId="0" borderId="61" xfId="0" applyNumberFormat="1" applyFont="1" applyBorder="1" applyAlignment="1">
      <alignment horizontal="center" vertical="center" wrapText="1"/>
    </xf>
    <xf numFmtId="177" fontId="5" fillId="3" borderId="67" xfId="0" applyNumberFormat="1" applyFont="1" applyFill="1" applyBorder="1">
      <alignment vertical="center"/>
    </xf>
    <xf numFmtId="177" fontId="5" fillId="3" borderId="68" xfId="0" applyNumberFormat="1" applyFont="1" applyFill="1" applyBorder="1">
      <alignment vertical="center"/>
    </xf>
    <xf numFmtId="177" fontId="8"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4"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6"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86" xfId="0" applyNumberFormat="1" applyFont="1" applyBorder="1" applyAlignment="1" applyProtection="1">
      <alignment horizontal="center" vertical="center"/>
      <protection locked="0"/>
    </xf>
    <xf numFmtId="0" fontId="0" fillId="0" borderId="79" xfId="0" applyBorder="1" applyProtection="1">
      <alignment vertical="center"/>
      <protection locked="0"/>
    </xf>
    <xf numFmtId="0" fontId="0" fillId="0" borderId="87"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5" xfId="0" applyFont="1" applyBorder="1" applyProtection="1">
      <alignment vertical="center"/>
      <protection locked="0"/>
    </xf>
    <xf numFmtId="0" fontId="5" fillId="0" borderId="18" xfId="0" applyFont="1" applyBorder="1" applyProtection="1">
      <alignment vertical="center"/>
      <protection locked="0"/>
    </xf>
    <xf numFmtId="0" fontId="5" fillId="4" borderId="37" xfId="0" applyFont="1" applyFill="1" applyBorder="1" applyAlignment="1" applyProtection="1">
      <alignment horizontal="center" vertical="center"/>
      <protection locked="0"/>
    </xf>
    <xf numFmtId="0" fontId="5" fillId="0" borderId="37" xfId="0" applyFont="1" applyBorder="1" applyProtection="1">
      <alignment vertical="center"/>
      <protection locked="0"/>
    </xf>
    <xf numFmtId="0" fontId="5" fillId="0" borderId="107" xfId="0" applyFont="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51" xfId="0" applyFont="1" applyBorder="1" applyProtection="1">
      <alignment vertical="center"/>
      <protection locked="0"/>
    </xf>
    <xf numFmtId="0" fontId="5" fillId="0" borderId="2" xfId="0" applyFont="1" applyBorder="1" applyAlignment="1">
      <alignment horizontal="center" vertical="center" wrapText="1"/>
    </xf>
    <xf numFmtId="0" fontId="5" fillId="4" borderId="83"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0" xfId="0" applyFont="1" applyBorder="1" applyProtection="1">
      <alignment vertical="center"/>
      <protection locked="0"/>
    </xf>
    <xf numFmtId="0" fontId="5" fillId="0" borderId="105" xfId="0" applyFont="1" applyBorder="1" applyProtection="1">
      <alignment vertical="center"/>
      <protection locked="0"/>
    </xf>
    <xf numFmtId="0" fontId="5" fillId="0" borderId="106" xfId="0" applyFont="1" applyBorder="1" applyProtection="1">
      <alignment vertical="center"/>
      <protection locked="0"/>
    </xf>
    <xf numFmtId="0" fontId="5" fillId="0" borderId="110" xfId="0" applyFont="1" applyBorder="1" applyProtection="1">
      <alignment vertical="center"/>
      <protection locked="0"/>
    </xf>
    <xf numFmtId="0" fontId="5" fillId="0" borderId="32" xfId="0" applyFont="1" applyBorder="1" applyProtection="1">
      <alignment vertical="center"/>
      <protection locked="0"/>
    </xf>
    <xf numFmtId="176" fontId="5" fillId="0" borderId="37" xfId="0" applyNumberFormat="1" applyFont="1" applyBorder="1" applyProtection="1">
      <alignment vertical="center"/>
      <protection locked="0"/>
    </xf>
    <xf numFmtId="176" fontId="5" fillId="0" borderId="111" xfId="0" applyNumberFormat="1" applyFont="1" applyBorder="1" applyAlignment="1" applyProtection="1">
      <alignment horizontal="right" vertical="center"/>
      <protection locked="0"/>
    </xf>
    <xf numFmtId="176" fontId="6" fillId="0" borderId="108"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3" xfId="0" applyFont="1" applyBorder="1" applyProtection="1">
      <alignment vertical="center"/>
      <protection locked="0"/>
    </xf>
    <xf numFmtId="0" fontId="5" fillId="2" borderId="34" xfId="0" applyFont="1" applyFill="1" applyBorder="1" applyAlignment="1" applyProtection="1">
      <alignment horizontal="center" vertical="center"/>
      <protection locked="0"/>
    </xf>
    <xf numFmtId="176" fontId="6" fillId="0" borderId="15" xfId="0" applyNumberFormat="1" applyFont="1" applyBorder="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7" fontId="5" fillId="0" borderId="33" xfId="0" applyNumberFormat="1" applyFont="1" applyBorder="1">
      <alignment vertical="center"/>
    </xf>
    <xf numFmtId="0" fontId="5" fillId="0" borderId="8" xfId="0" applyFont="1" applyBorder="1" applyAlignment="1" applyProtection="1">
      <alignment horizontal="center" vertical="center"/>
      <protection locked="0"/>
    </xf>
    <xf numFmtId="176" fontId="10" fillId="0" borderId="32" xfId="0" applyNumberFormat="1" applyFont="1" applyBorder="1">
      <alignment vertical="center"/>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6" fontId="5" fillId="0" borderId="113" xfId="0" applyNumberFormat="1" applyFont="1" applyBorder="1" applyAlignment="1" applyProtection="1">
      <alignment horizontal="right" vertical="center"/>
      <protection locked="0"/>
    </xf>
    <xf numFmtId="177" fontId="5" fillId="3" borderId="73" xfId="0" applyNumberFormat="1" applyFont="1" applyFill="1" applyBorder="1">
      <alignment vertical="center"/>
    </xf>
    <xf numFmtId="176" fontId="5" fillId="5" borderId="16" xfId="0" applyNumberFormat="1" applyFont="1" applyFill="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0" fontId="5" fillId="0" borderId="114" xfId="0" applyFont="1" applyBorder="1" applyProtection="1">
      <alignment vertical="center"/>
      <protection locked="0"/>
    </xf>
    <xf numFmtId="177" fontId="5" fillId="3" borderId="74"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14" fillId="0" borderId="62" xfId="0" applyFont="1" applyBorder="1" applyProtection="1">
      <alignment vertical="center"/>
      <protection locked="0"/>
    </xf>
    <xf numFmtId="0" fontId="11" fillId="0" borderId="62" xfId="0" applyFont="1" applyBorder="1" applyProtection="1">
      <alignment vertical="center"/>
      <protection locked="0"/>
    </xf>
    <xf numFmtId="178" fontId="10" fillId="2" borderId="3" xfId="0" applyNumberFormat="1" applyFont="1" applyFill="1" applyBorder="1" applyProtection="1">
      <alignment vertical="center"/>
      <protection locked="0"/>
    </xf>
    <xf numFmtId="176" fontId="15" fillId="3" borderId="3" xfId="0" applyNumberFormat="1" applyFont="1" applyFill="1" applyBorder="1">
      <alignment vertical="center"/>
    </xf>
    <xf numFmtId="0" fontId="22" fillId="0" borderId="62" xfId="0" applyFont="1" applyBorder="1" applyAlignment="1" applyProtection="1">
      <alignment horizontal="center" vertical="center"/>
      <protection locked="0"/>
    </xf>
    <xf numFmtId="176" fontId="14" fillId="3" borderId="1" xfId="0" applyNumberFormat="1" applyFont="1" applyFill="1" applyBorder="1">
      <alignment vertical="center"/>
    </xf>
    <xf numFmtId="0" fontId="5" fillId="4" borderId="116" xfId="0" applyFont="1" applyFill="1" applyBorder="1" applyAlignment="1" applyProtection="1">
      <alignment horizontal="center" vertical="center"/>
      <protection locked="0"/>
    </xf>
    <xf numFmtId="177" fontId="5" fillId="3" borderId="38" xfId="0" applyNumberFormat="1" applyFont="1" applyFill="1" applyBorder="1">
      <alignment vertical="center"/>
    </xf>
    <xf numFmtId="0" fontId="15" fillId="0" borderId="0" xfId="0" applyFont="1" applyProtection="1">
      <alignment vertical="center"/>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176" fontId="14" fillId="0" borderId="0" xfId="0" applyNumberFormat="1" applyFont="1">
      <alignment vertical="center"/>
    </xf>
    <xf numFmtId="176" fontId="5" fillId="0" borderId="117"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176" fontId="15" fillId="3" borderId="9" xfId="0" applyNumberFormat="1" applyFont="1" applyFill="1" applyBorder="1">
      <alignment vertical="center"/>
    </xf>
    <xf numFmtId="176" fontId="15" fillId="3" borderId="118" xfId="0" applyNumberFormat="1" applyFont="1" applyFill="1" applyBorder="1">
      <alignment vertical="center"/>
    </xf>
    <xf numFmtId="178" fontId="10" fillId="2" borderId="10" xfId="0" applyNumberFormat="1" applyFont="1" applyFill="1" applyBorder="1" applyProtection="1">
      <alignment vertical="center"/>
      <protection locked="0"/>
    </xf>
    <xf numFmtId="178" fontId="10" fillId="2" borderId="57" xfId="0" applyNumberFormat="1" applyFont="1" applyFill="1" applyBorder="1" applyProtection="1">
      <alignment vertical="center"/>
      <protection locked="0"/>
    </xf>
    <xf numFmtId="176" fontId="5" fillId="0" borderId="9" xfId="0" applyNumberFormat="1" applyFont="1" applyBorder="1" applyProtection="1">
      <alignment vertical="center"/>
      <protection locked="0"/>
    </xf>
    <xf numFmtId="176" fontId="5" fillId="0" borderId="118" xfId="0" applyNumberFormat="1" applyFont="1" applyBorder="1" applyProtection="1">
      <alignment vertical="center"/>
      <protection locked="0"/>
    </xf>
    <xf numFmtId="177" fontId="18" fillId="2" borderId="119" xfId="0" applyNumberFormat="1" applyFont="1" applyFill="1" applyBorder="1">
      <alignment vertical="center"/>
    </xf>
    <xf numFmtId="0" fontId="5" fillId="0" borderId="120" xfId="0" applyFont="1" applyBorder="1" applyProtection="1">
      <alignment vertical="center"/>
      <protection locked="0"/>
    </xf>
    <xf numFmtId="0" fontId="5" fillId="0" borderId="113" xfId="0" applyFont="1" applyBorder="1" applyProtection="1">
      <alignment vertical="center"/>
      <protection locked="0"/>
    </xf>
    <xf numFmtId="177" fontId="8" fillId="3" borderId="73" xfId="0" applyNumberFormat="1" applyFont="1" applyFill="1" applyBorder="1">
      <alignment vertical="center"/>
    </xf>
    <xf numFmtId="176" fontId="20" fillId="0" borderId="99" xfId="0" applyNumberFormat="1" applyFont="1" applyFill="1" applyBorder="1" applyAlignment="1">
      <alignment horizontal="right" vertical="center"/>
    </xf>
    <xf numFmtId="178" fontId="10" fillId="0" borderId="55" xfId="0" applyNumberFormat="1" applyFont="1" applyFill="1" applyBorder="1">
      <alignment vertical="center"/>
    </xf>
    <xf numFmtId="177" fontId="13" fillId="0" borderId="56" xfId="0" applyNumberFormat="1" applyFont="1" applyFill="1" applyBorder="1">
      <alignment vertical="center"/>
    </xf>
    <xf numFmtId="176" fontId="5" fillId="0" borderId="26" xfId="0" applyNumberFormat="1" applyFont="1" applyBorder="1" applyProtection="1">
      <alignment vertical="center"/>
      <protection locked="0"/>
    </xf>
    <xf numFmtId="0" fontId="0" fillId="0" borderId="83" xfId="0" applyBorder="1" applyProtection="1">
      <alignment vertical="center"/>
      <protection locked="0"/>
    </xf>
    <xf numFmtId="176" fontId="20" fillId="2" borderId="121" xfId="0" applyNumberFormat="1" applyFont="1" applyFill="1" applyBorder="1" applyAlignment="1">
      <alignment horizontal="right" vertical="center"/>
    </xf>
    <xf numFmtId="177" fontId="5" fillId="3" borderId="56" xfId="0" applyNumberFormat="1" applyFont="1" applyFill="1" applyBorder="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Border="1" applyProtection="1">
      <alignment vertical="center"/>
      <protection locked="0"/>
    </xf>
    <xf numFmtId="0" fontId="5" fillId="0" borderId="122" xfId="0" applyFont="1" applyBorder="1" applyProtection="1">
      <alignment vertical="center"/>
      <protection locked="0"/>
    </xf>
    <xf numFmtId="0" fontId="5" fillId="0" borderId="122" xfId="0" applyFont="1" applyBorder="1" applyAlignment="1" applyProtection="1">
      <alignment horizontal="right" vertical="center"/>
      <protection locked="0"/>
    </xf>
    <xf numFmtId="38" fontId="22" fillId="3" borderId="126" xfId="1" applyFont="1" applyFill="1" applyBorder="1" applyProtection="1">
      <alignment vertical="center"/>
    </xf>
    <xf numFmtId="0" fontId="30" fillId="0" borderId="0" xfId="0" applyFont="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5" fillId="0" borderId="28" xfId="0" applyFont="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81" fontId="5" fillId="5" borderId="24" xfId="0" applyNumberFormat="1" applyFont="1" applyFill="1" applyBorder="1" applyAlignment="1" applyProtection="1">
      <alignment horizontal="right" vertical="center"/>
      <protection locked="0"/>
    </xf>
    <xf numFmtId="180" fontId="8" fillId="3" borderId="65" xfId="0" applyNumberFormat="1" applyFont="1" applyFill="1" applyBorder="1">
      <alignment vertical="center"/>
    </xf>
    <xf numFmtId="180" fontId="8" fillId="3" borderId="73" xfId="0" applyNumberFormat="1" applyFont="1" applyFill="1" applyBorder="1">
      <alignment vertical="center"/>
    </xf>
    <xf numFmtId="176" fontId="20" fillId="0" borderId="124" xfId="0" applyNumberFormat="1" applyFont="1" applyFill="1" applyBorder="1" applyAlignment="1">
      <alignment horizontal="right" vertical="center"/>
    </xf>
    <xf numFmtId="178" fontId="10" fillId="0" borderId="123" xfId="0" applyNumberFormat="1" applyFont="1" applyFill="1" applyBorder="1">
      <alignment vertical="center"/>
    </xf>
    <xf numFmtId="177" fontId="13" fillId="0" borderId="125" xfId="0" applyNumberFormat="1" applyFont="1" applyFill="1" applyBorder="1">
      <alignment vertical="center"/>
    </xf>
    <xf numFmtId="176" fontId="20" fillId="0" borderId="104" xfId="0" applyNumberFormat="1" applyFont="1" applyFill="1" applyBorder="1" applyAlignment="1">
      <alignment horizontal="right" vertical="center"/>
    </xf>
    <xf numFmtId="178" fontId="10" fillId="0" borderId="18" xfId="0" applyNumberFormat="1" applyFont="1" applyFill="1" applyBorder="1">
      <alignment vertical="center"/>
    </xf>
    <xf numFmtId="177" fontId="13" fillId="0" borderId="15" xfId="0" applyNumberFormat="1" applyFont="1" applyFill="1" applyBorder="1">
      <alignment vertical="center"/>
    </xf>
    <xf numFmtId="178" fontId="31" fillId="0" borderId="37" xfId="0" applyNumberFormat="1" applyFont="1" applyFill="1" applyBorder="1">
      <alignment vertical="center"/>
    </xf>
    <xf numFmtId="177" fontId="32" fillId="0" borderId="38" xfId="0" applyNumberFormat="1" applyFont="1" applyFill="1" applyBorder="1">
      <alignment vertical="center"/>
    </xf>
    <xf numFmtId="176" fontId="34" fillId="0" borderId="0" xfId="0" applyNumberFormat="1" applyFont="1" applyAlignment="1" applyProtection="1">
      <alignment horizontal="center" vertical="center"/>
      <protection locked="0"/>
    </xf>
    <xf numFmtId="177" fontId="34" fillId="0" borderId="0" xfId="0" applyNumberFormat="1" applyFont="1" applyAlignment="1" applyProtection="1">
      <alignment horizontal="center" vertical="center"/>
      <protection locked="0"/>
    </xf>
    <xf numFmtId="3" fontId="15" fillId="0" borderId="13" xfId="0" applyNumberFormat="1" applyFont="1" applyBorder="1" applyProtection="1">
      <alignment vertical="center"/>
      <protection locked="0"/>
    </xf>
    <xf numFmtId="3" fontId="15" fillId="0" borderId="91" xfId="0" applyNumberFormat="1" applyFont="1" applyBorder="1" applyProtection="1">
      <alignment vertical="center"/>
      <protection locked="0"/>
    </xf>
    <xf numFmtId="38" fontId="34" fillId="3" borderId="1" xfId="1" applyFont="1" applyFill="1" applyBorder="1" applyAlignment="1" applyProtection="1">
      <alignment vertical="center"/>
    </xf>
    <xf numFmtId="38" fontId="34" fillId="3" borderId="2" xfId="1" applyFont="1" applyFill="1" applyBorder="1" applyAlignment="1" applyProtection="1">
      <alignment vertical="center"/>
    </xf>
    <xf numFmtId="0" fontId="35" fillId="0" borderId="0" xfId="0" applyFont="1" applyProtection="1">
      <alignment vertical="center"/>
      <protection locked="0"/>
    </xf>
    <xf numFmtId="0" fontId="8" fillId="5" borderId="67" xfId="0" applyFont="1" applyFill="1" applyBorder="1" applyAlignment="1" applyProtection="1">
      <alignment horizontal="right" vertical="center"/>
      <protection locked="0"/>
    </xf>
    <xf numFmtId="0" fontId="8" fillId="5" borderId="64" xfId="0" applyFont="1" applyFill="1" applyBorder="1" applyAlignment="1" applyProtection="1">
      <alignment horizontal="right" vertical="center"/>
      <protection locked="0"/>
    </xf>
    <xf numFmtId="0" fontId="8" fillId="5" borderId="77" xfId="0" applyFont="1" applyFill="1" applyBorder="1" applyAlignment="1" applyProtection="1">
      <alignment horizontal="right" vertical="center"/>
      <protection locked="0"/>
    </xf>
    <xf numFmtId="0" fontId="8" fillId="0" borderId="34" xfId="0" applyFont="1" applyBorder="1" applyProtection="1">
      <alignment vertical="center"/>
      <protection locked="0"/>
    </xf>
    <xf numFmtId="0" fontId="8" fillId="4" borderId="37"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38" fontId="15" fillId="0" borderId="13" xfId="1" applyFont="1" applyBorder="1" applyProtection="1">
      <alignment vertical="center"/>
      <protection locked="0"/>
    </xf>
    <xf numFmtId="0" fontId="33" fillId="0" borderId="0" xfId="0" applyFont="1" applyProtection="1">
      <alignment vertical="center"/>
      <protection locked="0"/>
    </xf>
    <xf numFmtId="0" fontId="8" fillId="0" borderId="36" xfId="0" applyFont="1" applyBorder="1" applyProtection="1">
      <alignment vertical="center"/>
      <protection locked="0"/>
    </xf>
    <xf numFmtId="0" fontId="8" fillId="2" borderId="34" xfId="0" applyFont="1" applyFill="1" applyBorder="1" applyAlignment="1" applyProtection="1">
      <alignment horizontal="center" vertical="center"/>
      <protection locked="0"/>
    </xf>
    <xf numFmtId="176" fontId="8" fillId="0" borderId="0" xfId="0" applyNumberFormat="1" applyFont="1" applyProtection="1">
      <alignment vertical="center"/>
      <protection locked="0"/>
    </xf>
    <xf numFmtId="0" fontId="36" fillId="0" borderId="0" xfId="0" applyFont="1" applyProtection="1">
      <alignment vertical="center"/>
      <protection locked="0"/>
    </xf>
    <xf numFmtId="176" fontId="22"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38" fontId="22" fillId="3" borderId="1" xfId="1" applyFont="1" applyFill="1" applyBorder="1" applyAlignment="1" applyProtection="1">
      <alignment vertical="center"/>
    </xf>
    <xf numFmtId="0" fontId="5" fillId="0" borderId="81"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38" fontId="22" fillId="3" borderId="2" xfId="1" applyFont="1" applyFill="1" applyBorder="1" applyAlignment="1" applyProtection="1">
      <alignment vertical="center"/>
    </xf>
    <xf numFmtId="177" fontId="10" fillId="2" borderId="37" xfId="0" applyNumberFormat="1" applyFont="1" applyFill="1" applyBorder="1" applyAlignment="1">
      <alignment horizontal="right" vertical="center"/>
    </xf>
    <xf numFmtId="178" fontId="10" fillId="2" borderId="55" xfId="0" applyNumberFormat="1" applyFont="1" applyFill="1" applyBorder="1" applyAlignment="1">
      <alignment horizontal="right" vertical="center"/>
    </xf>
    <xf numFmtId="0" fontId="14" fillId="0" borderId="78" xfId="0" applyFont="1" applyBorder="1" applyAlignment="1" applyProtection="1">
      <alignment vertical="center"/>
      <protection locked="0"/>
    </xf>
    <xf numFmtId="0" fontId="14" fillId="0" borderId="80" xfId="0" applyFont="1" applyBorder="1" applyAlignment="1" applyProtection="1">
      <alignment vertical="center"/>
      <protection locked="0"/>
    </xf>
    <xf numFmtId="0" fontId="14" fillId="0" borderId="98" xfId="0" applyFont="1" applyBorder="1" applyAlignment="1" applyProtection="1">
      <alignment vertical="center"/>
      <protection locked="0"/>
    </xf>
    <xf numFmtId="38" fontId="38" fillId="3" borderId="90" xfId="1" applyFont="1" applyFill="1" applyBorder="1" applyAlignment="1">
      <alignment horizontal="right" vertical="center"/>
    </xf>
    <xf numFmtId="38" fontId="38" fillId="3" borderId="127" xfId="1" applyFont="1" applyFill="1" applyBorder="1" applyAlignment="1">
      <alignment horizontal="right" vertical="center"/>
    </xf>
    <xf numFmtId="38" fontId="38" fillId="3" borderId="10" xfId="1" applyFont="1" applyFill="1" applyBorder="1" applyAlignment="1">
      <alignment horizontal="right" vertical="center"/>
    </xf>
    <xf numFmtId="38" fontId="38" fillId="3" borderId="9" xfId="1" applyFont="1" applyFill="1" applyBorder="1" applyAlignment="1">
      <alignment horizontal="right" vertical="center"/>
    </xf>
    <xf numFmtId="38" fontId="39" fillId="3" borderId="129" xfId="1" applyFont="1" applyFill="1" applyBorder="1" applyAlignment="1">
      <alignment horizontal="right" vertical="center"/>
    </xf>
    <xf numFmtId="38" fontId="39" fillId="3" borderId="128" xfId="1" applyFont="1" applyFill="1" applyBorder="1" applyAlignment="1">
      <alignment horizontal="right" vertical="center"/>
    </xf>
    <xf numFmtId="0" fontId="5" fillId="0" borderId="11" xfId="0" applyFont="1" applyBorder="1" applyAlignment="1" applyProtection="1">
      <alignment vertical="center"/>
      <protection locked="0"/>
    </xf>
    <xf numFmtId="0" fontId="5" fillId="0" borderId="102" xfId="0" applyFont="1" applyBorder="1" applyAlignment="1" applyProtection="1">
      <alignment vertical="center"/>
      <protection locked="0"/>
    </xf>
    <xf numFmtId="0" fontId="8" fillId="0" borderId="87" xfId="0" applyFont="1" applyBorder="1" applyAlignment="1" applyProtection="1">
      <alignment vertical="center"/>
      <protection locked="0"/>
    </xf>
    <xf numFmtId="0" fontId="8" fillId="0" borderId="86" xfId="0" applyFont="1" applyBorder="1" applyAlignment="1" applyProtection="1">
      <alignment vertical="center"/>
      <protection locked="0"/>
    </xf>
    <xf numFmtId="0" fontId="8" fillId="0" borderId="1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0" xfId="0" applyFont="1" applyAlignment="1" applyProtection="1">
      <alignment horizontal="left" vertical="top" wrapText="1"/>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vertical="center"/>
      <protection locked="0"/>
    </xf>
    <xf numFmtId="0" fontId="5" fillId="0" borderId="81"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3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177" fontId="18" fillId="2" borderId="64" xfId="0" applyNumberFormat="1" applyFont="1" applyFill="1" applyBorder="1" applyAlignment="1">
      <alignment horizontal="right" vertical="center"/>
    </xf>
    <xf numFmtId="177" fontId="18" fillId="2" borderId="65" xfId="0" applyNumberFormat="1" applyFont="1" applyFill="1" applyBorder="1" applyAlignment="1">
      <alignment horizontal="right" vertical="center"/>
    </xf>
    <xf numFmtId="0" fontId="5" fillId="0" borderId="71"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8" fillId="0" borderId="7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5" xfId="0" applyFont="1" applyBorder="1" applyAlignment="1" applyProtection="1">
      <alignment horizontal="left" vertical="center"/>
      <protection locked="0"/>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16" xfId="0" applyFont="1" applyBorder="1" applyAlignment="1" applyProtection="1">
      <alignment horizontal="left" vertical="center" wrapText="1"/>
      <protection locked="0"/>
    </xf>
    <xf numFmtId="176" fontId="5" fillId="0" borderId="21" xfId="0" applyNumberFormat="1"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0" borderId="34"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indent="1"/>
      <protection locked="0"/>
    </xf>
    <xf numFmtId="0" fontId="5" fillId="0" borderId="81"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82" xfId="0" applyFont="1" applyBorder="1" applyAlignment="1" applyProtection="1">
      <alignment horizontal="left" vertical="center"/>
      <protection locked="0"/>
    </xf>
    <xf numFmtId="0" fontId="5" fillId="0" borderId="29"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176" fontId="5" fillId="0" borderId="22" xfId="0" applyNumberFormat="1" applyFont="1" applyBorder="1" applyAlignment="1">
      <alignment horizontal="center" vertical="center"/>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9" fillId="0" borderId="40"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9"/>
  <sheetViews>
    <sheetView tabSelected="1" view="pageBreakPreview" zoomScale="70" zoomScaleNormal="70" zoomScaleSheetLayoutView="70" workbookViewId="0">
      <selection sqref="A1:H1"/>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2.5" style="9" customWidth="1"/>
    <col min="7" max="7" width="12.5" style="10" customWidth="1"/>
    <col min="8" max="8" width="14.19921875" style="10" customWidth="1"/>
    <col min="9" max="9" width="12.09765625" style="10" customWidth="1"/>
    <col min="10" max="10" width="29" style="10" customWidth="1"/>
    <col min="11" max="16384" width="9" style="11"/>
  </cols>
  <sheetData>
    <row r="1" spans="1:10" s="8" customFormat="1" ht="31.5" customHeight="1">
      <c r="A1" s="403" t="s">
        <v>125</v>
      </c>
      <c r="B1" s="404"/>
      <c r="C1" s="404"/>
      <c r="D1" s="404"/>
      <c r="E1" s="404"/>
      <c r="F1" s="404"/>
      <c r="G1" s="404"/>
      <c r="H1" s="404"/>
      <c r="I1" s="7"/>
      <c r="J1" s="7"/>
    </row>
    <row r="2" spans="1:10" ht="19.5" customHeight="1" thickBot="1">
      <c r="A2" s="9"/>
    </row>
    <row r="3" spans="1:10" ht="19.5" customHeight="1" thickBot="1">
      <c r="A3" s="9"/>
      <c r="B3" s="413" t="s">
        <v>0</v>
      </c>
      <c r="C3" s="414"/>
      <c r="D3" s="410" t="s">
        <v>1</v>
      </c>
      <c r="E3" s="411"/>
      <c r="F3" s="411"/>
      <c r="G3" s="412"/>
      <c r="H3" s="9"/>
      <c r="J3" s="11"/>
    </row>
    <row r="4" spans="1:10" ht="19.5" customHeight="1">
      <c r="A4" s="9"/>
      <c r="C4" s="12"/>
      <c r="D4" s="12"/>
      <c r="E4" s="12"/>
      <c r="F4" s="12"/>
      <c r="G4" s="12"/>
      <c r="H4" s="12"/>
      <c r="J4" s="11"/>
    </row>
    <row r="5" spans="1:10" ht="19.5" customHeight="1" thickBot="1">
      <c r="A5" s="13" t="s">
        <v>2</v>
      </c>
      <c r="C5" s="12"/>
      <c r="D5" s="12"/>
      <c r="E5" s="12"/>
      <c r="F5" s="12"/>
      <c r="G5" s="12"/>
      <c r="H5" s="12"/>
      <c r="J5" s="11"/>
    </row>
    <row r="6" spans="1:10" ht="19.5" customHeight="1">
      <c r="A6" s="13"/>
      <c r="B6" s="408"/>
      <c r="C6" s="409"/>
      <c r="D6" s="409"/>
      <c r="E6" s="409"/>
      <c r="F6" s="193" t="s">
        <v>3</v>
      </c>
      <c r="G6" s="12"/>
      <c r="H6" s="12"/>
      <c r="I6" s="12"/>
    </row>
    <row r="7" spans="1:10" ht="19.5" customHeight="1">
      <c r="A7" s="13"/>
      <c r="B7" s="407" t="s">
        <v>4</v>
      </c>
      <c r="C7" s="389"/>
      <c r="D7" s="389"/>
      <c r="E7" s="389"/>
      <c r="F7" s="194">
        <v>160</v>
      </c>
      <c r="G7" s="12"/>
      <c r="H7" s="12"/>
      <c r="I7" s="12"/>
    </row>
    <row r="8" spans="1:10" ht="19.5" customHeight="1">
      <c r="A8" s="13"/>
      <c r="B8" s="405" t="s">
        <v>5</v>
      </c>
      <c r="C8" s="406"/>
      <c r="D8" s="406"/>
      <c r="E8" s="406"/>
      <c r="F8" s="210">
        <f>F9+F10</f>
        <v>160</v>
      </c>
      <c r="G8" s="12"/>
      <c r="H8" s="12"/>
      <c r="I8" s="12"/>
    </row>
    <row r="9" spans="1:10" ht="19.5" customHeight="1">
      <c r="A9" s="13"/>
      <c r="B9" s="128"/>
      <c r="C9" s="399" t="s">
        <v>6</v>
      </c>
      <c r="D9" s="400"/>
      <c r="E9" s="400"/>
      <c r="F9" s="131">
        <v>80</v>
      </c>
      <c r="G9" s="12"/>
      <c r="H9" s="12"/>
      <c r="I9" s="12"/>
    </row>
    <row r="10" spans="1:10" ht="19.5" customHeight="1">
      <c r="A10" s="13"/>
      <c r="B10" s="128"/>
      <c r="C10" s="399" t="s">
        <v>7</v>
      </c>
      <c r="D10" s="400"/>
      <c r="E10" s="400"/>
      <c r="F10" s="131">
        <v>80</v>
      </c>
      <c r="G10" s="12"/>
      <c r="H10" s="12"/>
      <c r="I10" s="12"/>
    </row>
    <row r="11" spans="1:10" ht="19.5" customHeight="1" thickBot="1">
      <c r="A11" s="13"/>
      <c r="B11" s="195"/>
      <c r="C11" s="401" t="s">
        <v>8</v>
      </c>
      <c r="D11" s="402"/>
      <c r="E11" s="402"/>
      <c r="F11" s="135">
        <v>40</v>
      </c>
      <c r="G11" s="12"/>
      <c r="H11" s="12"/>
      <c r="I11" s="12"/>
    </row>
    <row r="12" spans="1:10" ht="22.5" customHeight="1">
      <c r="A12" s="13"/>
      <c r="B12" s="136" t="s">
        <v>9</v>
      </c>
      <c r="C12" s="386" t="s">
        <v>10</v>
      </c>
      <c r="D12" s="386"/>
      <c r="E12" s="386"/>
      <c r="F12" s="386"/>
      <c r="G12" s="386"/>
      <c r="H12" s="12"/>
      <c r="I12" s="12"/>
    </row>
    <row r="13" spans="1:10" ht="22.5" customHeight="1">
      <c r="A13" s="9"/>
      <c r="B13" s="136"/>
      <c r="C13" s="386"/>
      <c r="D13" s="386"/>
      <c r="E13" s="386"/>
      <c r="F13" s="386"/>
      <c r="G13" s="386"/>
      <c r="H13" s="12"/>
      <c r="J13" s="11"/>
    </row>
    <row r="14" spans="1:10" ht="24" customHeight="1">
      <c r="B14" s="41"/>
      <c r="F14" s="10"/>
      <c r="G14" s="42"/>
      <c r="H14" s="43"/>
      <c r="J14" s="11"/>
    </row>
    <row r="15" spans="1:10" ht="19.5" customHeight="1" thickBot="1">
      <c r="A15" s="13" t="s">
        <v>11</v>
      </c>
      <c r="F15" s="10"/>
      <c r="J15" s="11"/>
    </row>
    <row r="16" spans="1:10" ht="33.75" customHeight="1">
      <c r="B16" s="196"/>
      <c r="C16" s="387"/>
      <c r="D16" s="388"/>
      <c r="E16" s="197" t="s">
        <v>12</v>
      </c>
      <c r="F16" s="198" t="s">
        <v>13</v>
      </c>
      <c r="G16" s="211" t="s">
        <v>14</v>
      </c>
      <c r="H16" s="11"/>
      <c r="I16" s="11"/>
      <c r="J16" s="11"/>
    </row>
    <row r="17" spans="2:10" ht="24" customHeight="1">
      <c r="B17" s="199" t="s">
        <v>15</v>
      </c>
      <c r="C17" s="389" t="s">
        <v>16</v>
      </c>
      <c r="D17" s="390"/>
      <c r="E17" s="308"/>
      <c r="F17" s="309"/>
      <c r="G17" s="310">
        <f>ROUND(SUM($G$18:$G$20),0)</f>
        <v>12</v>
      </c>
      <c r="H17" s="11"/>
      <c r="I17" s="11"/>
      <c r="J17" s="11"/>
    </row>
    <row r="18" spans="2:10" ht="24" customHeight="1">
      <c r="B18" s="200"/>
      <c r="C18" s="395" t="s">
        <v>116</v>
      </c>
      <c r="D18" s="396"/>
      <c r="E18" s="88" t="s">
        <v>18</v>
      </c>
      <c r="F18" s="201"/>
      <c r="G18" s="307">
        <f>IF($E$18="あり",ROUNDDOWN(($F$9)*1/25,1),ROUNDDOWN($F$9*1/30,1))</f>
        <v>3.2</v>
      </c>
      <c r="H18" s="11"/>
      <c r="I18" s="11"/>
      <c r="J18" s="11"/>
    </row>
    <row r="19" spans="2:10" ht="24" customHeight="1">
      <c r="B19" s="200"/>
      <c r="C19" s="391" t="s">
        <v>17</v>
      </c>
      <c r="D19" s="392"/>
      <c r="E19" s="88" t="s">
        <v>18</v>
      </c>
      <c r="F19" s="201"/>
      <c r="G19" s="397">
        <f>IF($E$19="あり",IF($E$20="あり",ROUNDDOWN(($F$10-$F$11)*1/15,1)+ROUNDDOWN($F$11*1/6,1),ROUNDDOWN($F$10*1/15,1)),IF($E$20="あり",ROUNDDOWN(($F$10-$F$11)*1/20,1)+ROUNDDOWN($F$11*1/6,1),ROUNDDOWN($F$10*1/20,1)))</f>
        <v>9.1999999999999993</v>
      </c>
      <c r="H19" s="25"/>
      <c r="I19" s="11"/>
      <c r="J19" s="11"/>
    </row>
    <row r="20" spans="2:10" ht="24" customHeight="1">
      <c r="B20" s="200"/>
      <c r="C20" s="393" t="s">
        <v>19</v>
      </c>
      <c r="D20" s="394"/>
      <c r="E20" s="202" t="s">
        <v>18</v>
      </c>
      <c r="F20" s="203"/>
      <c r="G20" s="398"/>
      <c r="H20" s="25"/>
      <c r="I20" s="11"/>
      <c r="J20" s="11"/>
    </row>
    <row r="21" spans="2:10" ht="24" customHeight="1">
      <c r="B21" s="278" t="s">
        <v>20</v>
      </c>
      <c r="C21" s="382" t="s">
        <v>21</v>
      </c>
      <c r="D21" s="383"/>
      <c r="E21" s="4" t="s">
        <v>18</v>
      </c>
      <c r="F21" s="279"/>
      <c r="G21" s="280">
        <f>IF(E21="あり",0.8,0)</f>
        <v>0.8</v>
      </c>
      <c r="H21" s="25"/>
      <c r="I21" s="11"/>
      <c r="J21" s="11"/>
    </row>
    <row r="22" spans="2:10" ht="24" customHeight="1">
      <c r="B22" s="278" t="s">
        <v>22</v>
      </c>
      <c r="C22" s="382" t="s">
        <v>23</v>
      </c>
      <c r="D22" s="383"/>
      <c r="E22" s="4" t="s">
        <v>18</v>
      </c>
      <c r="F22" s="281">
        <v>4</v>
      </c>
      <c r="G22" s="280">
        <f>IF(E22="あり",F22,0)</f>
        <v>4</v>
      </c>
      <c r="H22" s="11"/>
      <c r="I22" s="11"/>
      <c r="J22" s="11"/>
    </row>
    <row r="23" spans="2:10" ht="24" customHeight="1">
      <c r="B23" s="199" t="s">
        <v>24</v>
      </c>
      <c r="C23" s="382" t="s">
        <v>25</v>
      </c>
      <c r="D23" s="383"/>
      <c r="E23" s="282" t="s">
        <v>18</v>
      </c>
      <c r="F23" s="283"/>
      <c r="G23" s="284">
        <f>IF(E23="あり",IF(F7&gt;=151,1.5,0.8),0)</f>
        <v>1.5</v>
      </c>
      <c r="H23" s="11"/>
      <c r="I23" s="11"/>
      <c r="J23" s="11"/>
    </row>
    <row r="24" spans="2:10" ht="24" customHeight="1">
      <c r="B24" s="199" t="s">
        <v>26</v>
      </c>
      <c r="C24" s="384" t="s">
        <v>27</v>
      </c>
      <c r="D24" s="385"/>
      <c r="E24" s="4" t="s">
        <v>18</v>
      </c>
      <c r="F24" s="283"/>
      <c r="G24" s="212">
        <f>IF(E24="あり",IF(F7&gt;=151,3,2),0)</f>
        <v>3</v>
      </c>
      <c r="H24" s="11"/>
      <c r="I24" s="11"/>
      <c r="J24" s="11"/>
    </row>
    <row r="25" spans="2:10" ht="24" customHeight="1">
      <c r="B25" s="278" t="s">
        <v>28</v>
      </c>
      <c r="C25" s="382" t="s">
        <v>29</v>
      </c>
      <c r="D25" s="383"/>
      <c r="E25" s="4" t="s">
        <v>18</v>
      </c>
      <c r="F25" s="204"/>
      <c r="G25" s="280">
        <f>IF(E25="あり",1,0)</f>
        <v>1</v>
      </c>
      <c r="H25" s="11"/>
      <c r="I25" s="11"/>
      <c r="J25" s="11"/>
    </row>
    <row r="26" spans="2:10" ht="24" customHeight="1">
      <c r="B26" s="278" t="s">
        <v>30</v>
      </c>
      <c r="C26" s="382" t="s">
        <v>31</v>
      </c>
      <c r="D26" s="383"/>
      <c r="E26" s="4" t="s">
        <v>18</v>
      </c>
      <c r="F26" s="204"/>
      <c r="G26" s="280">
        <f>IF(E26="あり",0.8,0)</f>
        <v>0.8</v>
      </c>
      <c r="H26" s="11"/>
      <c r="I26" s="11"/>
      <c r="J26" s="11"/>
    </row>
    <row r="27" spans="2:10" ht="24" customHeight="1">
      <c r="B27" s="278" t="s">
        <v>32</v>
      </c>
      <c r="C27" s="382" t="s">
        <v>33</v>
      </c>
      <c r="D27" s="383"/>
      <c r="E27" s="4" t="s">
        <v>18</v>
      </c>
      <c r="F27" s="204"/>
      <c r="G27" s="280">
        <f>IF(E27="あり",0.8,0)</f>
        <v>0.8</v>
      </c>
      <c r="H27" s="11"/>
      <c r="I27" s="11"/>
      <c r="J27" s="11"/>
    </row>
    <row r="28" spans="2:10" ht="24" customHeight="1">
      <c r="B28" s="285" t="s">
        <v>34</v>
      </c>
      <c r="C28" s="382" t="s">
        <v>35</v>
      </c>
      <c r="D28" s="383"/>
      <c r="E28" s="4" t="s">
        <v>18</v>
      </c>
      <c r="F28" s="204"/>
      <c r="G28" s="280">
        <f>IF(E28="あり",0.8,0)</f>
        <v>0.8</v>
      </c>
      <c r="H28" s="11"/>
      <c r="I28" s="11"/>
      <c r="J28" s="11"/>
    </row>
    <row r="29" spans="2:10" ht="24" customHeight="1">
      <c r="B29" s="285" t="s">
        <v>36</v>
      </c>
      <c r="C29" s="382" t="s">
        <v>37</v>
      </c>
      <c r="D29" s="383"/>
      <c r="E29" s="4" t="s">
        <v>18</v>
      </c>
      <c r="F29" s="204"/>
      <c r="G29" s="280">
        <f>IF(E29="あり",0.5,0)</f>
        <v>0.5</v>
      </c>
      <c r="H29" s="11"/>
      <c r="I29" s="11"/>
      <c r="J29" s="11"/>
    </row>
    <row r="30" spans="2:10" ht="24" customHeight="1">
      <c r="B30" s="285" t="s">
        <v>38</v>
      </c>
      <c r="C30" s="382" t="s">
        <v>39</v>
      </c>
      <c r="D30" s="383"/>
      <c r="E30" s="4" t="s">
        <v>18</v>
      </c>
      <c r="F30" s="204"/>
      <c r="G30" s="332">
        <f>IF(E30="あり",-1,0)</f>
        <v>-1</v>
      </c>
      <c r="H30" s="11"/>
      <c r="I30" s="11"/>
      <c r="J30" s="11"/>
    </row>
    <row r="31" spans="2:10" ht="24" customHeight="1">
      <c r="B31" s="328" t="s">
        <v>40</v>
      </c>
      <c r="C31" s="377" t="s">
        <v>126</v>
      </c>
      <c r="D31" s="378"/>
      <c r="E31" s="329" t="s">
        <v>99</v>
      </c>
      <c r="F31" s="330">
        <v>3</v>
      </c>
      <c r="G31" s="331">
        <f>IF(E31="該当",-F31,0)</f>
        <v>-3</v>
      </c>
      <c r="H31" s="11"/>
      <c r="I31" s="11"/>
      <c r="J31" s="11"/>
    </row>
    <row r="32" spans="2:10" ht="24" customHeight="1" thickBot="1">
      <c r="B32" s="379" t="s">
        <v>41</v>
      </c>
      <c r="C32" s="380"/>
      <c r="D32" s="381"/>
      <c r="E32" s="205"/>
      <c r="F32" s="205"/>
      <c r="G32" s="213">
        <f>IF(F7&lt;=35,0.4,IF(F7&lt;=300,1.4,0.4))</f>
        <v>1.4</v>
      </c>
      <c r="H32" s="11"/>
      <c r="I32" s="11"/>
      <c r="J32" s="11"/>
    </row>
    <row r="33" spans="1:10" ht="24" customHeight="1" thickTop="1" thickBot="1">
      <c r="B33" s="206" t="s">
        <v>42</v>
      </c>
      <c r="C33" s="207"/>
      <c r="D33" s="207"/>
      <c r="E33" s="207"/>
      <c r="F33" s="154"/>
      <c r="G33" s="214">
        <f>SUM(G17,G21:G32)</f>
        <v>22.6</v>
      </c>
      <c r="H33" s="11"/>
      <c r="I33" s="11"/>
      <c r="J33" s="11"/>
    </row>
    <row r="34" spans="1:10" ht="24" customHeight="1" thickBot="1">
      <c r="B34" s="38" t="s">
        <v>43</v>
      </c>
      <c r="C34" s="39"/>
      <c r="D34" s="39"/>
      <c r="E34" s="39"/>
      <c r="F34" s="186"/>
      <c r="G34" s="292">
        <f>ROUND(G33,0)</f>
        <v>23</v>
      </c>
      <c r="I34" s="11"/>
      <c r="J34" s="11"/>
    </row>
    <row r="35" spans="1:10" ht="24" customHeight="1">
      <c r="B35" s="295" t="s">
        <v>44</v>
      </c>
      <c r="C35" s="296"/>
      <c r="D35" s="296"/>
      <c r="E35" s="296"/>
      <c r="F35" s="297"/>
      <c r="G35" s="298"/>
      <c r="I35" s="11"/>
      <c r="J35" s="11"/>
    </row>
    <row r="36" spans="1:10" ht="24" customHeight="1">
      <c r="B36" s="41"/>
      <c r="F36" s="10"/>
      <c r="G36" s="42"/>
      <c r="H36" s="43"/>
      <c r="J36" s="11"/>
    </row>
    <row r="37" spans="1:10" ht="24" customHeight="1" thickBot="1">
      <c r="A37" s="295" t="s">
        <v>127</v>
      </c>
      <c r="F37" s="341" t="s">
        <v>124</v>
      </c>
      <c r="G37" s="342" t="s">
        <v>123</v>
      </c>
      <c r="I37" s="208"/>
      <c r="J37" s="11"/>
    </row>
    <row r="38" spans="1:10" ht="24" customHeight="1" thickBot="1">
      <c r="B38" s="325" t="s">
        <v>46</v>
      </c>
      <c r="C38" s="326"/>
      <c r="D38" s="326"/>
      <c r="E38" s="326"/>
      <c r="F38" s="81">
        <f>IF(ROUND(G34/3,0)=0,1,ROUND(G34/3,0))</f>
        <v>8</v>
      </c>
      <c r="G38" s="292">
        <v>5</v>
      </c>
      <c r="I38" s="11"/>
      <c r="J38" s="11"/>
    </row>
    <row r="39" spans="1:10" ht="24" customHeight="1" thickBot="1">
      <c r="B39" s="325" t="s">
        <v>47</v>
      </c>
      <c r="C39" s="326"/>
      <c r="D39" s="326"/>
      <c r="E39" s="326"/>
      <c r="F39" s="81">
        <f>IF(ROUND(G34/5,0)=0,1,ROUND(G34/5,0))</f>
        <v>5</v>
      </c>
      <c r="G39" s="292">
        <v>5</v>
      </c>
      <c r="I39" s="11"/>
      <c r="J39" s="11"/>
    </row>
    <row r="40" spans="1:10" ht="33.75" customHeight="1">
      <c r="F40" s="10"/>
      <c r="H40" s="43"/>
      <c r="J40" s="11"/>
    </row>
    <row r="41" spans="1:10" ht="27" customHeight="1" thickBot="1">
      <c r="A41" s="13" t="s">
        <v>48</v>
      </c>
      <c r="F41" s="10"/>
      <c r="J41" s="11"/>
    </row>
    <row r="42" spans="1:10" ht="21" customHeight="1" thickBot="1">
      <c r="B42" s="49"/>
      <c r="C42" s="343">
        <v>51690</v>
      </c>
      <c r="D42" s="46" t="s">
        <v>49</v>
      </c>
      <c r="E42" s="46"/>
      <c r="F42" s="373">
        <f>IF(G38="","実人数を入力してください",IF(ISBLANK(G38), C42*F38, IF(F38 &lt; G38, C42*F38, C42*G38)))</f>
        <v>258450</v>
      </c>
      <c r="G42" s="374"/>
      <c r="I42" s="11"/>
      <c r="J42" s="11"/>
    </row>
    <row r="43" spans="1:10" ht="21" customHeight="1" thickBot="1">
      <c r="B43" s="52"/>
      <c r="C43" s="344">
        <v>6460</v>
      </c>
      <c r="D43" s="54" t="s">
        <v>50</v>
      </c>
      <c r="E43" s="54"/>
      <c r="F43" s="371">
        <f>IF(G39="","実人数を入力してください",IF(ISBLANK(G39), C43*F39, IF(F39 &lt; G39, C43*F39, C43*G39)))</f>
        <v>32300</v>
      </c>
      <c r="G43" s="372"/>
      <c r="I43" s="11"/>
    </row>
    <row r="44" spans="1:10" ht="21" customHeight="1" thickTop="1" thickBot="1">
      <c r="B44" s="56"/>
      <c r="C44" s="291" t="s">
        <v>51</v>
      </c>
      <c r="D44" s="58"/>
      <c r="E44" s="58"/>
      <c r="F44" s="375">
        <f>SUM(F42:G43)</f>
        <v>290750</v>
      </c>
      <c r="G44" s="376"/>
    </row>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31">
    <mergeCell ref="C10:E10"/>
    <mergeCell ref="C11:E11"/>
    <mergeCell ref="A1:H1"/>
    <mergeCell ref="B8:E8"/>
    <mergeCell ref="B7:E7"/>
    <mergeCell ref="B6:E6"/>
    <mergeCell ref="C9:E9"/>
    <mergeCell ref="D3:G3"/>
    <mergeCell ref="B3:C3"/>
    <mergeCell ref="C12:G13"/>
    <mergeCell ref="C16:D16"/>
    <mergeCell ref="C17:D17"/>
    <mergeCell ref="C19:D19"/>
    <mergeCell ref="C20:D20"/>
    <mergeCell ref="C18:D18"/>
    <mergeCell ref="G19:G20"/>
    <mergeCell ref="C21:D21"/>
    <mergeCell ref="C22:D22"/>
    <mergeCell ref="C23:D23"/>
    <mergeCell ref="C24:D24"/>
    <mergeCell ref="C25:D25"/>
    <mergeCell ref="C26:D26"/>
    <mergeCell ref="C27:D27"/>
    <mergeCell ref="C28:D28"/>
    <mergeCell ref="C29:D29"/>
    <mergeCell ref="C30:D30"/>
    <mergeCell ref="F43:G43"/>
    <mergeCell ref="F42:G42"/>
    <mergeCell ref="F44:G44"/>
    <mergeCell ref="C31:D31"/>
    <mergeCell ref="B32:D32"/>
  </mergeCells>
  <phoneticPr fontId="1"/>
  <dataValidations count="2">
    <dataValidation type="list" allowBlank="1" showInputMessage="1" showErrorMessage="1" sqref="E31" xr:uid="{00000000-0002-0000-0000-000000000000}">
      <formula1>"　,該当,非該当"</formula1>
    </dataValidation>
    <dataValidation type="list" allowBlank="1" showInputMessage="1" showErrorMessage="1" sqref="E18:E30" xr:uid="{00000000-0002-0000-0000-000001000000}">
      <formula1>"　,あり,なし"</formula1>
    </dataValidation>
  </dataValidations>
  <pageMargins left="0.92" right="0.56000000000000005" top="0.75" bottom="0.37" header="0.3" footer="0.3"/>
  <pageSetup paperSize="9" scale="7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22"/>
  <sheetViews>
    <sheetView view="pageBreakPreview" zoomScale="70" zoomScaleNormal="70" zoomScaleSheetLayoutView="70" workbookViewId="0"/>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10" style="10" customWidth="1"/>
    <col min="7" max="7" width="10.59765625" style="10" customWidth="1"/>
    <col min="8" max="8" width="13.09765625" style="10" customWidth="1"/>
    <col min="9" max="9" width="10.09765625" style="10" customWidth="1"/>
    <col min="10" max="12" width="10.09765625" style="11" customWidth="1"/>
    <col min="13" max="16384" width="9" style="11"/>
  </cols>
  <sheetData>
    <row r="1" spans="1:13" s="8" customFormat="1" ht="23.25" customHeight="1">
      <c r="A1" s="347" t="s">
        <v>128</v>
      </c>
      <c r="B1" s="6"/>
      <c r="C1" s="6"/>
      <c r="D1" s="6"/>
      <c r="E1" s="6"/>
      <c r="F1" s="7"/>
      <c r="G1" s="7"/>
      <c r="H1" s="7"/>
      <c r="I1" s="7"/>
    </row>
    <row r="2" spans="1:13" ht="19.5" customHeight="1" thickBot="1">
      <c r="A2" s="9"/>
    </row>
    <row r="3" spans="1:13" ht="19.5" customHeight="1" thickBot="1">
      <c r="A3" s="9"/>
      <c r="B3" s="413" t="s">
        <v>0</v>
      </c>
      <c r="C3" s="413"/>
      <c r="D3" s="410" t="s">
        <v>52</v>
      </c>
      <c r="E3" s="411"/>
      <c r="F3" s="411"/>
      <c r="G3" s="411"/>
      <c r="H3" s="412"/>
    </row>
    <row r="4" spans="1:13" ht="19.5" customHeight="1">
      <c r="A4" s="9"/>
      <c r="E4" s="12"/>
      <c r="F4" s="12"/>
      <c r="G4" s="12"/>
      <c r="H4" s="12"/>
    </row>
    <row r="5" spans="1:13" ht="19.5" customHeight="1" thickBot="1">
      <c r="A5" s="13" t="s">
        <v>2</v>
      </c>
      <c r="E5" s="12"/>
      <c r="F5" s="12"/>
      <c r="G5" s="12"/>
      <c r="H5" s="12"/>
    </row>
    <row r="6" spans="1:13" ht="19.5" customHeight="1" thickBot="1">
      <c r="A6" s="13"/>
      <c r="B6" s="17"/>
      <c r="C6" s="137"/>
      <c r="D6" s="137"/>
      <c r="E6" s="176" t="s">
        <v>53</v>
      </c>
      <c r="F6" s="174" t="s">
        <v>3</v>
      </c>
      <c r="G6" s="12"/>
      <c r="H6" s="12"/>
      <c r="I6" s="12"/>
      <c r="J6" s="174" t="s">
        <v>3</v>
      </c>
    </row>
    <row r="7" spans="1:13" ht="37.5" customHeight="1" thickBot="1">
      <c r="A7" s="13"/>
      <c r="B7" s="407" t="s">
        <v>54</v>
      </c>
      <c r="C7" s="389"/>
      <c r="D7" s="389"/>
      <c r="E7" s="216" t="s">
        <v>142</v>
      </c>
      <c r="F7" s="14" t="s">
        <v>55</v>
      </c>
      <c r="G7" s="12"/>
      <c r="H7" s="12"/>
      <c r="I7" s="12"/>
      <c r="J7" s="242" t="str">
        <f>IF(E7="あり","分園分を記入","入力不要")</f>
        <v>入力不要</v>
      </c>
      <c r="M7"/>
    </row>
    <row r="8" spans="1:13" ht="19.5" customHeight="1" thickBot="1">
      <c r="A8" s="13"/>
      <c r="B8" s="407" t="s">
        <v>4</v>
      </c>
      <c r="C8" s="389"/>
      <c r="D8" s="389"/>
      <c r="E8" s="389"/>
      <c r="F8" s="1">
        <v>100</v>
      </c>
      <c r="G8" s="12"/>
      <c r="H8" s="12"/>
      <c r="I8" s="12"/>
      <c r="J8" s="1">
        <v>20</v>
      </c>
    </row>
    <row r="9" spans="1:13" ht="19.5" customHeight="1" thickBot="1">
      <c r="A9" s="13"/>
      <c r="B9" s="405" t="s">
        <v>56</v>
      </c>
      <c r="C9" s="406"/>
      <c r="D9" s="406"/>
      <c r="E9" s="406"/>
      <c r="F9" s="165">
        <f>F10+F11+F12+F14</f>
        <v>120</v>
      </c>
      <c r="H9" s="12"/>
      <c r="I9" s="12"/>
      <c r="J9" s="165">
        <f>J10+J11+J12+J14</f>
        <v>20</v>
      </c>
    </row>
    <row r="10" spans="1:13" ht="19.5" customHeight="1">
      <c r="A10" s="13"/>
      <c r="B10" s="128"/>
      <c r="C10" s="399" t="s">
        <v>6</v>
      </c>
      <c r="D10" s="400"/>
      <c r="E10" s="129"/>
      <c r="F10" s="130">
        <v>40</v>
      </c>
      <c r="G10" s="12"/>
      <c r="H10" s="12"/>
      <c r="I10" s="12"/>
      <c r="J10" s="130">
        <v>5</v>
      </c>
    </row>
    <row r="11" spans="1:13" ht="19.5" customHeight="1">
      <c r="A11" s="13"/>
      <c r="B11" s="128"/>
      <c r="C11" s="399" t="s">
        <v>57</v>
      </c>
      <c r="D11" s="400"/>
      <c r="E11" s="129"/>
      <c r="F11" s="131">
        <v>30</v>
      </c>
      <c r="G11" s="12"/>
      <c r="H11" s="12"/>
      <c r="I11" s="12"/>
      <c r="J11" s="131">
        <v>5</v>
      </c>
    </row>
    <row r="12" spans="1:13" ht="19.2" customHeight="1">
      <c r="A12" s="13"/>
      <c r="B12" s="128"/>
      <c r="C12" s="400" t="s">
        <v>58</v>
      </c>
      <c r="D12" s="432"/>
      <c r="E12" s="129"/>
      <c r="F12" s="348">
        <v>40</v>
      </c>
      <c r="G12" s="12"/>
      <c r="H12" s="12"/>
      <c r="I12" s="12"/>
      <c r="J12" s="348">
        <v>5</v>
      </c>
    </row>
    <row r="13" spans="1:13" ht="19.2" customHeight="1">
      <c r="A13" s="13"/>
      <c r="B13" s="128"/>
      <c r="C13" s="423" t="s">
        <v>121</v>
      </c>
      <c r="D13" s="424"/>
      <c r="E13" s="321"/>
      <c r="F13" s="349">
        <v>30</v>
      </c>
      <c r="G13" s="319"/>
      <c r="H13" s="319"/>
      <c r="I13" s="319"/>
      <c r="J13" s="349">
        <v>2</v>
      </c>
    </row>
    <row r="14" spans="1:13" ht="19.2" customHeight="1" thickBot="1">
      <c r="A14" s="9"/>
      <c r="B14" s="91"/>
      <c r="C14" s="401" t="s">
        <v>59</v>
      </c>
      <c r="D14" s="402"/>
      <c r="E14" s="134"/>
      <c r="F14" s="135">
        <v>10</v>
      </c>
      <c r="G14" s="12"/>
      <c r="H14" s="12"/>
      <c r="J14" s="350">
        <v>5</v>
      </c>
    </row>
    <row r="15" spans="1:13" ht="42.75" customHeight="1">
      <c r="A15" s="9"/>
      <c r="B15" s="215" t="s">
        <v>9</v>
      </c>
      <c r="C15" s="386" t="s">
        <v>10</v>
      </c>
      <c r="D15" s="386"/>
      <c r="E15" s="386"/>
      <c r="F15" s="386"/>
      <c r="G15" s="386"/>
      <c r="H15" s="386"/>
      <c r="I15" s="386"/>
      <c r="J15" s="386"/>
      <c r="K15" s="386"/>
      <c r="L15" s="386"/>
    </row>
    <row r="16" spans="1:13" ht="19.5" customHeight="1">
      <c r="A16" s="9"/>
      <c r="B16" s="136"/>
      <c r="C16" s="262"/>
      <c r="D16" s="262"/>
      <c r="E16" s="262"/>
      <c r="F16" s="262"/>
      <c r="G16" s="262"/>
      <c r="H16" s="262"/>
    </row>
    <row r="17" spans="1:12" ht="19.5" customHeight="1" thickBot="1">
      <c r="A17" s="13" t="s">
        <v>11</v>
      </c>
    </row>
    <row r="18" spans="1:12" ht="19.5" customHeight="1" thickBot="1">
      <c r="A18" s="13"/>
      <c r="E18" s="415" t="s">
        <v>60</v>
      </c>
      <c r="F18" s="416"/>
      <c r="G18" s="416"/>
      <c r="H18" s="417"/>
      <c r="I18" s="418" t="str">
        <f>IF(E7="あり","分園分","選択不要")</f>
        <v>選択不要</v>
      </c>
      <c r="J18" s="419"/>
      <c r="K18" s="419"/>
      <c r="L18" s="420"/>
    </row>
    <row r="19" spans="1:12" ht="33" customHeight="1">
      <c r="B19" s="17"/>
      <c r="C19" s="137"/>
      <c r="D19" s="137"/>
      <c r="E19" s="244" t="s">
        <v>12</v>
      </c>
      <c r="F19" s="245"/>
      <c r="G19" s="430" t="s">
        <v>14</v>
      </c>
      <c r="H19" s="431"/>
      <c r="I19" s="217" t="s">
        <v>12</v>
      </c>
      <c r="J19" s="218"/>
      <c r="K19" s="421" t="s">
        <v>14</v>
      </c>
      <c r="L19" s="422"/>
    </row>
    <row r="20" spans="1:12" ht="19.5" customHeight="1">
      <c r="B20" s="20" t="s">
        <v>15</v>
      </c>
      <c r="C20" s="137" t="s">
        <v>61</v>
      </c>
      <c r="D20" s="177"/>
      <c r="E20" s="234"/>
      <c r="F20" s="178"/>
      <c r="G20" s="172"/>
      <c r="H20" s="189"/>
      <c r="I20" s="314"/>
      <c r="J20" s="315"/>
      <c r="K20" s="223"/>
      <c r="L20" s="224"/>
    </row>
    <row r="21" spans="1:12" ht="19.5" customHeight="1">
      <c r="B21" s="23"/>
      <c r="C21" s="142" t="s">
        <v>62</v>
      </c>
      <c r="D21" s="231"/>
      <c r="E21" s="235"/>
      <c r="F21" s="168">
        <f>F10</f>
        <v>40</v>
      </c>
      <c r="G21" s="62">
        <f>IF(E22="なし",F21/30,F21/25)</f>
        <v>1.6</v>
      </c>
      <c r="H21" s="109">
        <f>ROUNDDOWN(G21,1)</f>
        <v>1.6</v>
      </c>
      <c r="I21" s="142"/>
      <c r="J21" s="168">
        <f>IF(E7="あり",J10,0)</f>
        <v>0</v>
      </c>
      <c r="K21" s="108">
        <f>IF(I22="なし",J21/30,J21/25)</f>
        <v>0</v>
      </c>
      <c r="L21" s="109">
        <f>ROUNDDOWN(K21,1)</f>
        <v>0</v>
      </c>
    </row>
    <row r="22" spans="1:12" ht="19.5" customHeight="1">
      <c r="B22" s="23"/>
      <c r="C22" s="142" t="s">
        <v>117</v>
      </c>
      <c r="D22" s="231"/>
      <c r="E22" s="237" t="s">
        <v>18</v>
      </c>
      <c r="F22" s="311"/>
      <c r="G22" s="312"/>
      <c r="H22" s="313"/>
      <c r="I22" s="265" t="str">
        <f>E22</f>
        <v>あり</v>
      </c>
      <c r="J22" s="311"/>
      <c r="K22" s="312"/>
      <c r="L22" s="313"/>
    </row>
    <row r="23" spans="1:12" ht="19.5" customHeight="1">
      <c r="B23" s="23"/>
      <c r="C23" s="24" t="s">
        <v>63</v>
      </c>
      <c r="D23" s="232"/>
      <c r="E23" s="236"/>
      <c r="F23" s="167">
        <f>F11</f>
        <v>30</v>
      </c>
      <c r="G23" s="62">
        <f>IF(E24="なし",F23/20,F23/15)</f>
        <v>2</v>
      </c>
      <c r="H23" s="63">
        <f>ROUNDDOWN(G23,1)</f>
        <v>2</v>
      </c>
      <c r="I23" s="9"/>
      <c r="J23" s="168">
        <f>IF(E7="あり",J11,0)</f>
        <v>0</v>
      </c>
      <c r="K23" s="62">
        <f>IF(I24="なし",J23/20,J23/15)</f>
        <v>0</v>
      </c>
      <c r="L23" s="63">
        <f>ROUNDDOWN(K23,1)</f>
        <v>0</v>
      </c>
    </row>
    <row r="24" spans="1:12" ht="19.5" customHeight="1">
      <c r="B24" s="23"/>
      <c r="C24" s="24" t="s">
        <v>64</v>
      </c>
      <c r="D24" s="232"/>
      <c r="E24" s="237" t="s">
        <v>18</v>
      </c>
      <c r="F24" s="141"/>
      <c r="G24" s="170"/>
      <c r="H24" s="171"/>
      <c r="I24" s="265" t="str">
        <f>E24</f>
        <v>あり</v>
      </c>
      <c r="J24" s="141"/>
      <c r="K24" s="170"/>
      <c r="L24" s="171"/>
    </row>
    <row r="25" spans="1:12" ht="19.5" customHeight="1">
      <c r="B25" s="23"/>
      <c r="C25" s="24" t="s">
        <v>58</v>
      </c>
      <c r="D25" s="232"/>
      <c r="E25" s="238"/>
      <c r="F25" s="167">
        <f>F12</f>
        <v>40</v>
      </c>
      <c r="G25" s="62">
        <f>IF(E26="なし",F25*1/6,(F25-F13)*1/6+F13*1/5)</f>
        <v>7.666666666666667</v>
      </c>
      <c r="H25" s="63">
        <f>ROUNDDOWN(G25,1)</f>
        <v>7.6</v>
      </c>
      <c r="I25" s="24"/>
      <c r="J25" s="168">
        <f>IF(E7="あり",J12,0)</f>
        <v>0</v>
      </c>
      <c r="K25" s="366" t="str">
        <f>IF(OR(E7="なし",TRIM(E7)=""), "0.00", IF(I26="なし", J25*1/6, (J25-J13)*1/6 + J13*1/5))</f>
        <v>0.00</v>
      </c>
      <c r="L25" s="63">
        <f>ROUNDDOWN(K25,1)</f>
        <v>0</v>
      </c>
    </row>
    <row r="26" spans="1:12" ht="19.5" customHeight="1">
      <c r="B26" s="23"/>
      <c r="C26" s="351" t="s">
        <v>122</v>
      </c>
      <c r="D26" s="322"/>
      <c r="E26" s="352" t="s">
        <v>18</v>
      </c>
      <c r="F26" s="333"/>
      <c r="G26" s="334"/>
      <c r="H26" s="335"/>
      <c r="I26" s="265" t="str">
        <f>E26</f>
        <v>あり</v>
      </c>
      <c r="J26" s="336"/>
      <c r="K26" s="334"/>
      <c r="L26" s="335"/>
    </row>
    <row r="27" spans="1:12" ht="19.5" customHeight="1" thickBot="1">
      <c r="B27" s="23"/>
      <c r="C27" s="90" t="s">
        <v>59</v>
      </c>
      <c r="D27" s="233"/>
      <c r="E27" s="221"/>
      <c r="F27" s="169">
        <f>F14</f>
        <v>10</v>
      </c>
      <c r="G27" s="64">
        <f>F27*1/3</f>
        <v>3.3333333333333335</v>
      </c>
      <c r="H27" s="65">
        <f>ROUNDDOWN(G27,1)</f>
        <v>3.3</v>
      </c>
      <c r="I27" s="221"/>
      <c r="J27" s="169">
        <f>IF(E7="あり",J14,0)</f>
        <v>0</v>
      </c>
      <c r="K27" s="64">
        <f>J27*1/3</f>
        <v>0</v>
      </c>
      <c r="L27" s="65">
        <f>ROUNDDOWN(K27,1)</f>
        <v>0</v>
      </c>
    </row>
    <row r="28" spans="1:12" ht="19.5" customHeight="1" thickTop="1">
      <c r="B28" s="26"/>
      <c r="C28" s="91" t="s">
        <v>65</v>
      </c>
      <c r="D28" s="26"/>
      <c r="E28" s="239"/>
      <c r="F28" s="179"/>
      <c r="G28" s="66"/>
      <c r="H28" s="67">
        <f>ROUND(SUM(H21:H27),0)</f>
        <v>15</v>
      </c>
      <c r="J28" s="222"/>
      <c r="K28" s="66"/>
      <c r="L28" s="67">
        <f>ROUND(SUM(L21:L27),0)</f>
        <v>0</v>
      </c>
    </row>
    <row r="29" spans="1:12" ht="19.5" customHeight="1">
      <c r="B29" s="29" t="s">
        <v>20</v>
      </c>
      <c r="C29" s="144" t="s">
        <v>129</v>
      </c>
      <c r="D29" s="177"/>
      <c r="E29" s="240" t="s">
        <v>18</v>
      </c>
      <c r="F29" s="178"/>
      <c r="G29" s="68"/>
      <c r="H29" s="69">
        <f>IF(E29="あり",1.4,0)</f>
        <v>1.4</v>
      </c>
      <c r="I29" s="147" t="s">
        <v>18</v>
      </c>
      <c r="J29" s="178"/>
      <c r="K29" s="68"/>
      <c r="L29" s="69">
        <f>IF(E7="あり",IF(I29="あり",1.4,0),0)</f>
        <v>0</v>
      </c>
    </row>
    <row r="30" spans="1:12" ht="19.5" customHeight="1">
      <c r="B30" s="29" t="s">
        <v>22</v>
      </c>
      <c r="C30" s="144" t="s">
        <v>67</v>
      </c>
      <c r="D30" s="177"/>
      <c r="E30" s="240" t="s">
        <v>18</v>
      </c>
      <c r="F30" s="178"/>
      <c r="G30" s="68"/>
      <c r="H30" s="69">
        <f>IF(E30="あり",1,0)</f>
        <v>1</v>
      </c>
      <c r="I30" s="428" t="str">
        <f>IF($E$7="あり","本園分で選択","－")</f>
        <v>－</v>
      </c>
      <c r="J30" s="429"/>
      <c r="K30" s="223"/>
      <c r="L30" s="224"/>
    </row>
    <row r="31" spans="1:12" ht="19.5" customHeight="1">
      <c r="B31" s="29" t="s">
        <v>24</v>
      </c>
      <c r="C31" s="353" t="s">
        <v>130</v>
      </c>
      <c r="D31" s="177"/>
      <c r="E31" s="240" t="s">
        <v>18</v>
      </c>
      <c r="F31" s="178"/>
      <c r="G31" s="68"/>
      <c r="H31" s="69">
        <f>IF(E31="あり",0.3,0)</f>
        <v>0.3</v>
      </c>
      <c r="I31" s="428" t="str">
        <f t="shared" ref="I31:I34" si="0">IF($E$7="あり","本園分で選択","－")</f>
        <v>－</v>
      </c>
      <c r="J31" s="429"/>
      <c r="K31" s="223"/>
      <c r="L31" s="224"/>
    </row>
    <row r="32" spans="1:12" ht="19.5" customHeight="1" thickBot="1">
      <c r="B32" s="29" t="s">
        <v>26</v>
      </c>
      <c r="C32" s="144" t="s">
        <v>68</v>
      </c>
      <c r="D32" s="177"/>
      <c r="E32" s="240" t="s">
        <v>18</v>
      </c>
      <c r="F32" s="299"/>
      <c r="G32" s="68"/>
      <c r="H32" s="69">
        <f>IF(E32="あり",0.5,0)</f>
        <v>0.5</v>
      </c>
      <c r="I32" s="428" t="str">
        <f t="shared" si="0"/>
        <v>－</v>
      </c>
      <c r="J32" s="429"/>
      <c r="K32" s="223"/>
      <c r="L32" s="224"/>
    </row>
    <row r="33" spans="1:12" ht="19.5" customHeight="1" thickBot="1">
      <c r="B33" s="29" t="s">
        <v>28</v>
      </c>
      <c r="C33" s="144" t="s">
        <v>69</v>
      </c>
      <c r="D33" s="177"/>
      <c r="E33" s="254" t="s">
        <v>18</v>
      </c>
      <c r="F33" s="1">
        <v>2</v>
      </c>
      <c r="G33" s="68"/>
      <c r="H33" s="69">
        <f>IF(E33="あり",F33,0)</f>
        <v>2</v>
      </c>
      <c r="I33" s="428" t="str">
        <f t="shared" si="0"/>
        <v>－</v>
      </c>
      <c r="J33" s="429"/>
      <c r="K33" s="223"/>
      <c r="L33" s="224"/>
    </row>
    <row r="34" spans="1:12" ht="19.5" customHeight="1">
      <c r="B34" s="29" t="s">
        <v>70</v>
      </c>
      <c r="C34" s="389" t="s">
        <v>37</v>
      </c>
      <c r="D34" s="427"/>
      <c r="E34" s="240" t="s">
        <v>18</v>
      </c>
      <c r="F34" s="300"/>
      <c r="G34" s="68"/>
      <c r="H34" s="69">
        <f>IF(E34="あり",0.6,0)</f>
        <v>0.6</v>
      </c>
      <c r="I34" s="425" t="str">
        <f t="shared" si="0"/>
        <v>－</v>
      </c>
      <c r="J34" s="426"/>
      <c r="K34" s="272"/>
      <c r="L34" s="273"/>
    </row>
    <row r="35" spans="1:12" ht="19.5" customHeight="1" thickBot="1">
      <c r="B35" s="180" t="s">
        <v>71</v>
      </c>
      <c r="C35" s="181"/>
      <c r="D35" s="181"/>
      <c r="E35" s="241"/>
      <c r="F35" s="182"/>
      <c r="G35" s="190"/>
      <c r="H35" s="191">
        <f>IF(F8&lt;=40,1.5,IF(F8&lt;=90,2.5,IF(F8&lt;=150,2.3,IF(F8&gt;=151,3.3,0))))</f>
        <v>2.2999999999999998</v>
      </c>
      <c r="I35" s="225"/>
      <c r="J35" s="226"/>
      <c r="K35" s="227"/>
      <c r="L35" s="72">
        <f>IF(E7="あり",IF(J8&lt;=40,1.5,IF(J8&lt;=90,2.5,IF(J8&lt;=150,2.3,IF(J8&gt;=151,3.3,0)))),0)</f>
        <v>0</v>
      </c>
    </row>
    <row r="36" spans="1:12" ht="19.5" customHeight="1" thickTop="1" thickBot="1">
      <c r="B36" s="36" t="s">
        <v>42</v>
      </c>
      <c r="C36" s="41"/>
      <c r="D36" s="41"/>
      <c r="E36" s="236"/>
      <c r="F36" s="183"/>
      <c r="G36" s="73"/>
      <c r="H36" s="74">
        <f>SUM(H35,H28,H29:H34)</f>
        <v>23.1</v>
      </c>
      <c r="J36" s="220"/>
      <c r="K36" s="219"/>
      <c r="L36" s="74">
        <f>SUM(L28,L29,,L35)</f>
        <v>0</v>
      </c>
    </row>
    <row r="37" spans="1:12" ht="19.5" customHeight="1" thickBot="1">
      <c r="B37" s="38" t="s">
        <v>43</v>
      </c>
      <c r="C37" s="184"/>
      <c r="D37" s="184"/>
      <c r="E37" s="209"/>
      <c r="F37" s="185"/>
      <c r="G37" s="75"/>
      <c r="H37" s="192">
        <f>ROUND(H36,0)</f>
        <v>23</v>
      </c>
      <c r="I37" s="228"/>
      <c r="J37" s="229"/>
      <c r="K37" s="230"/>
      <c r="L37" s="192">
        <f>ROUND(L36,0)</f>
        <v>0</v>
      </c>
    </row>
    <row r="38" spans="1:12" ht="19.5" customHeight="1">
      <c r="B38" s="41"/>
      <c r="C38" s="41"/>
      <c r="D38" s="41"/>
      <c r="H38" s="42"/>
      <c r="I38" s="43"/>
    </row>
    <row r="39" spans="1:12" ht="19.5" customHeight="1" thickBot="1">
      <c r="A39" s="295" t="s">
        <v>127</v>
      </c>
      <c r="G39" s="44"/>
      <c r="H39" s="341" t="s">
        <v>124</v>
      </c>
      <c r="I39" s="342" t="s">
        <v>123</v>
      </c>
    </row>
    <row r="40" spans="1:12" ht="19.5" customHeight="1" thickBot="1">
      <c r="B40" s="49" t="s">
        <v>46</v>
      </c>
      <c r="C40" s="46"/>
      <c r="D40" s="46"/>
      <c r="E40" s="39"/>
      <c r="F40" s="305"/>
      <c r="G40" s="303">
        <f>(H37+L37)/3</f>
        <v>7.666666666666667</v>
      </c>
      <c r="H40" s="301">
        <f>IF(ROUND(G40,0)=0,1,ROUND(G40,0))</f>
        <v>8</v>
      </c>
      <c r="I40" s="292">
        <v>5</v>
      </c>
    </row>
    <row r="41" spans="1:12" ht="19.5" customHeight="1" thickBot="1">
      <c r="B41" s="48" t="s">
        <v>47</v>
      </c>
      <c r="C41" s="287"/>
      <c r="D41" s="287"/>
      <c r="E41" s="288"/>
      <c r="F41" s="306"/>
      <c r="G41" s="304">
        <f>(H37+L37)/5</f>
        <v>4.5999999999999996</v>
      </c>
      <c r="H41" s="302">
        <f>IF(ROUND(G41,0)=0,1,ROUND(G41,0))</f>
        <v>5</v>
      </c>
      <c r="I41" s="292">
        <v>5</v>
      </c>
    </row>
    <row r="42" spans="1:12" ht="19.5" customHeight="1">
      <c r="H42" s="43"/>
    </row>
    <row r="43" spans="1:12" ht="19.5" customHeight="1" thickBot="1">
      <c r="A43" s="13" t="s">
        <v>48</v>
      </c>
    </row>
    <row r="44" spans="1:12" ht="19.5" customHeight="1" thickBot="1">
      <c r="B44" s="49"/>
      <c r="C44" s="354">
        <v>49020</v>
      </c>
      <c r="D44" s="46" t="s">
        <v>72</v>
      </c>
      <c r="E44" s="39"/>
      <c r="F44" s="186"/>
      <c r="G44" s="99"/>
      <c r="H44" s="345">
        <f>IF(I40="","実人数を入力してください",IF(ISBLANK(I40),C44*H40,IF(H40&lt;I40,C44*H40,C44*I40)))</f>
        <v>245100</v>
      </c>
    </row>
    <row r="45" spans="1:12" ht="19.5" customHeight="1" thickBot="1">
      <c r="B45" s="52"/>
      <c r="C45" s="53">
        <v>6130</v>
      </c>
      <c r="D45" s="54" t="s">
        <v>73</v>
      </c>
      <c r="E45" s="100"/>
      <c r="F45" s="187"/>
      <c r="G45" s="101"/>
      <c r="H45" s="346">
        <f>IF(I41="","実人数を入力してください",IF(ISBLANK(I41),C45*H41,IF(H41&lt;I41,C45*H41,C45*I41)))</f>
        <v>30650</v>
      </c>
    </row>
    <row r="46" spans="1:12" ht="19.5" customHeight="1" thickTop="1" thickBot="1">
      <c r="B46" s="56"/>
      <c r="C46" s="188" t="s">
        <v>74</v>
      </c>
      <c r="D46" s="58"/>
      <c r="E46" s="58"/>
      <c r="F46" s="59"/>
      <c r="G46" s="59"/>
      <c r="H46" s="323">
        <f>SUM(H44:H45)</f>
        <v>275750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mergeCells count="21">
    <mergeCell ref="B3:C3"/>
    <mergeCell ref="D3:H3"/>
    <mergeCell ref="I34:J34"/>
    <mergeCell ref="C34:D34"/>
    <mergeCell ref="I30:J30"/>
    <mergeCell ref="I31:J31"/>
    <mergeCell ref="I32:J32"/>
    <mergeCell ref="B9:E9"/>
    <mergeCell ref="I33:J33"/>
    <mergeCell ref="B8:E8"/>
    <mergeCell ref="G19:H19"/>
    <mergeCell ref="C14:D14"/>
    <mergeCell ref="C12:D12"/>
    <mergeCell ref="C11:D11"/>
    <mergeCell ref="C10:D10"/>
    <mergeCell ref="B7:D7"/>
    <mergeCell ref="E18:H18"/>
    <mergeCell ref="C15:L15"/>
    <mergeCell ref="I18:L18"/>
    <mergeCell ref="K19:L19"/>
    <mergeCell ref="C13:D13"/>
  </mergeCells>
  <phoneticPr fontId="1"/>
  <dataValidations disablePrompts="1" count="1">
    <dataValidation type="list" allowBlank="1" showInputMessage="1" showErrorMessage="1" sqref="I29 E24 E7 E29:E34 E22 E26" xr:uid="{00000000-0002-0000-0100-000000000000}">
      <formula1>"　,あり,なし"</formula1>
    </dataValidation>
  </dataValidations>
  <pageMargins left="0.92" right="0.56000000000000005" top="0.75" bottom="0.37" header="0.3" footer="0.3"/>
  <pageSetup paperSize="9" scale="63"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131"/>
  <sheetViews>
    <sheetView view="pageBreakPreview" zoomScale="70" zoomScaleNormal="70" zoomScaleSheetLayoutView="70" workbookViewId="0"/>
  </sheetViews>
  <sheetFormatPr defaultColWidth="9" defaultRowHeight="18"/>
  <cols>
    <col min="1" max="1" width="2.8984375" style="11" customWidth="1"/>
    <col min="2" max="2" width="3" style="9" customWidth="1"/>
    <col min="3" max="3" width="14.69921875" style="9" customWidth="1"/>
    <col min="4" max="4" width="28.19921875" style="9" customWidth="1"/>
    <col min="5" max="6" width="10" style="10" customWidth="1"/>
    <col min="7" max="7" width="12.09765625" style="10" customWidth="1"/>
    <col min="8" max="8" width="13.09765625" style="10" customWidth="1"/>
    <col min="9" max="9" width="10" style="125" customWidth="1"/>
    <col min="10" max="10" width="10" style="11" customWidth="1"/>
    <col min="11" max="11" width="11" style="11" bestFit="1" customWidth="1"/>
    <col min="12" max="12" width="13.09765625" style="11" customWidth="1"/>
    <col min="13" max="16384" width="9" style="11"/>
  </cols>
  <sheetData>
    <row r="1" spans="1:10" s="8" customFormat="1" ht="31.5" customHeight="1">
      <c r="A1" s="355" t="s">
        <v>131</v>
      </c>
      <c r="B1" s="6"/>
      <c r="C1" s="6"/>
      <c r="D1" s="6"/>
      <c r="E1" s="7"/>
      <c r="F1" s="7"/>
      <c r="G1" s="7"/>
      <c r="H1" s="7"/>
      <c r="I1" s="125"/>
    </row>
    <row r="2" spans="1:10" s="8" customFormat="1" ht="18.75" customHeight="1" thickBot="1">
      <c r="A2" s="5"/>
      <c r="B2" s="6"/>
      <c r="C2" s="6"/>
      <c r="D2" s="6"/>
      <c r="E2" s="7"/>
      <c r="F2" s="7"/>
      <c r="G2" s="7"/>
      <c r="H2" s="7"/>
      <c r="I2" s="125"/>
    </row>
    <row r="3" spans="1:10" ht="19.5" customHeight="1" thickBot="1">
      <c r="A3" s="9"/>
      <c r="B3" s="413" t="s">
        <v>0</v>
      </c>
      <c r="C3" s="414"/>
      <c r="D3" s="410" t="s">
        <v>75</v>
      </c>
      <c r="E3" s="411"/>
      <c r="F3" s="411"/>
      <c r="G3" s="411"/>
      <c r="H3" s="412"/>
    </row>
    <row r="4" spans="1:10" ht="19.5" customHeight="1">
      <c r="A4" s="9"/>
      <c r="C4" s="12"/>
      <c r="D4" s="12"/>
      <c r="E4" s="12"/>
      <c r="F4" s="12"/>
      <c r="G4" s="12"/>
    </row>
    <row r="5" spans="1:10" ht="19.5" customHeight="1" thickBot="1">
      <c r="A5" s="13" t="s">
        <v>2</v>
      </c>
      <c r="E5" s="12"/>
      <c r="F5" s="12"/>
      <c r="G5" s="12"/>
    </row>
    <row r="6" spans="1:10" ht="33" customHeight="1" thickBot="1">
      <c r="A6" s="13"/>
      <c r="B6" s="408"/>
      <c r="C6" s="409"/>
      <c r="D6" s="409"/>
      <c r="E6" s="175" t="s">
        <v>12</v>
      </c>
      <c r="F6" s="126" t="s">
        <v>13</v>
      </c>
      <c r="G6" s="12"/>
      <c r="J6" s="126" t="s">
        <v>13</v>
      </c>
    </row>
    <row r="7" spans="1:10" ht="37.5" customHeight="1" thickBot="1">
      <c r="A7" s="13"/>
      <c r="B7" s="407" t="s">
        <v>54</v>
      </c>
      <c r="C7" s="389"/>
      <c r="D7" s="389"/>
      <c r="E7" s="243" t="s">
        <v>111</v>
      </c>
      <c r="F7" s="126" t="s">
        <v>55</v>
      </c>
      <c r="G7" s="12"/>
      <c r="J7" s="242" t="str">
        <f>IF(E7="あり","分園分を記入","入力不要")</f>
        <v>入力不要</v>
      </c>
    </row>
    <row r="8" spans="1:10" ht="19.5" customHeight="1" thickBot="1">
      <c r="A8" s="13"/>
      <c r="B8" s="407" t="s">
        <v>4</v>
      </c>
      <c r="C8" s="389"/>
      <c r="D8" s="389"/>
      <c r="E8" s="389"/>
      <c r="F8" s="164">
        <f>F9+F10</f>
        <v>290</v>
      </c>
      <c r="G8" s="12"/>
      <c r="J8" s="164">
        <f>J9+J10</f>
        <v>90</v>
      </c>
    </row>
    <row r="9" spans="1:10" ht="19.5" customHeight="1" thickBot="1">
      <c r="A9" s="13"/>
      <c r="B9" s="127"/>
      <c r="C9" s="389" t="s">
        <v>76</v>
      </c>
      <c r="D9" s="389"/>
      <c r="E9" s="389"/>
      <c r="F9" s="1">
        <v>200</v>
      </c>
      <c r="G9" s="12"/>
      <c r="J9" s="1">
        <v>50</v>
      </c>
    </row>
    <row r="10" spans="1:10" ht="19.5" customHeight="1" thickBot="1">
      <c r="A10" s="13"/>
      <c r="B10" s="127"/>
      <c r="C10" s="389" t="s">
        <v>77</v>
      </c>
      <c r="D10" s="389"/>
      <c r="E10" s="389"/>
      <c r="F10" s="1">
        <v>90</v>
      </c>
      <c r="G10" s="12"/>
      <c r="J10" s="1">
        <v>40</v>
      </c>
    </row>
    <row r="11" spans="1:10" ht="19.5" customHeight="1" thickBot="1">
      <c r="A11" s="13"/>
      <c r="B11" s="405" t="s">
        <v>56</v>
      </c>
      <c r="C11" s="406"/>
      <c r="D11" s="406"/>
      <c r="E11" s="406"/>
      <c r="F11" s="165">
        <f>F12+F13+F15+F17</f>
        <v>105</v>
      </c>
      <c r="G11" s="12"/>
      <c r="J11" s="165">
        <f>J12+J13+J15+J17</f>
        <v>90</v>
      </c>
    </row>
    <row r="12" spans="1:10" ht="19.5" customHeight="1">
      <c r="A12" s="13"/>
      <c r="B12" s="128"/>
      <c r="C12" s="399" t="s">
        <v>6</v>
      </c>
      <c r="D12" s="400"/>
      <c r="E12" s="129"/>
      <c r="F12" s="130">
        <v>40</v>
      </c>
      <c r="G12" s="12"/>
      <c r="J12" s="130">
        <v>40</v>
      </c>
    </row>
    <row r="13" spans="1:10" ht="19.5" customHeight="1">
      <c r="A13" s="13"/>
      <c r="B13" s="128"/>
      <c r="C13" s="399" t="s">
        <v>57</v>
      </c>
      <c r="D13" s="400"/>
      <c r="E13" s="129"/>
      <c r="F13" s="131">
        <v>35</v>
      </c>
      <c r="G13" s="12"/>
      <c r="J13" s="131">
        <v>30</v>
      </c>
    </row>
    <row r="14" spans="1:10" ht="19.5" customHeight="1">
      <c r="A14" s="13"/>
      <c r="B14" s="128"/>
      <c r="C14" s="132" t="s">
        <v>78</v>
      </c>
      <c r="D14" s="133"/>
      <c r="E14" s="129"/>
      <c r="F14" s="131">
        <v>10</v>
      </c>
      <c r="G14" s="12"/>
      <c r="J14" s="131">
        <v>10</v>
      </c>
    </row>
    <row r="15" spans="1:10" ht="19.5" customHeight="1">
      <c r="A15" s="13"/>
      <c r="B15" s="128"/>
      <c r="C15" s="423" t="s">
        <v>58</v>
      </c>
      <c r="D15" s="424"/>
      <c r="E15" s="129"/>
      <c r="F15" s="348">
        <v>20</v>
      </c>
      <c r="G15" s="324"/>
      <c r="J15" s="348">
        <v>10</v>
      </c>
    </row>
    <row r="16" spans="1:10" ht="19.5" customHeight="1">
      <c r="A16" s="13"/>
      <c r="B16" s="128"/>
      <c r="C16" s="423" t="s">
        <v>121</v>
      </c>
      <c r="D16" s="424"/>
      <c r="E16" s="321"/>
      <c r="F16" s="349">
        <v>5</v>
      </c>
      <c r="G16" s="318"/>
      <c r="J16" s="349">
        <v>5</v>
      </c>
    </row>
    <row r="17" spans="1:12" ht="19.5" customHeight="1" thickBot="1">
      <c r="A17" s="9"/>
      <c r="B17" s="91"/>
      <c r="C17" s="401" t="s">
        <v>59</v>
      </c>
      <c r="D17" s="402"/>
      <c r="E17" s="134"/>
      <c r="F17" s="135">
        <v>10</v>
      </c>
      <c r="G17" s="12"/>
      <c r="J17" s="135">
        <v>10</v>
      </c>
    </row>
    <row r="18" spans="1:12" ht="32.25" customHeight="1">
      <c r="A18" s="9"/>
      <c r="B18" s="262" t="s">
        <v>9</v>
      </c>
      <c r="C18" s="386" t="s">
        <v>10</v>
      </c>
      <c r="D18" s="386"/>
      <c r="E18" s="386"/>
      <c r="F18" s="386"/>
      <c r="G18" s="386"/>
      <c r="H18" s="386"/>
      <c r="I18" s="386"/>
      <c r="J18" s="386"/>
      <c r="K18" s="386"/>
      <c r="L18" s="386"/>
    </row>
    <row r="19" spans="1:12" ht="19.5" customHeight="1">
      <c r="A19" s="9"/>
      <c r="B19" s="136"/>
      <c r="C19" s="263"/>
      <c r="D19" s="263"/>
      <c r="E19" s="263"/>
      <c r="F19" s="263"/>
      <c r="G19" s="263"/>
      <c r="H19" s="263"/>
    </row>
    <row r="20" spans="1:12" ht="19.5" customHeight="1" thickBot="1">
      <c r="A20" s="13" t="s">
        <v>79</v>
      </c>
    </row>
    <row r="21" spans="1:12" ht="19.5" customHeight="1" thickBot="1">
      <c r="A21" s="13"/>
      <c r="E21" s="437" t="s">
        <v>60</v>
      </c>
      <c r="F21" s="438"/>
      <c r="G21" s="438"/>
      <c r="H21" s="439"/>
      <c r="I21" s="418" t="s">
        <v>119</v>
      </c>
      <c r="J21" s="419"/>
      <c r="K21" s="419"/>
      <c r="L21" s="420"/>
    </row>
    <row r="22" spans="1:12" ht="31.5" customHeight="1">
      <c r="B22" s="17"/>
      <c r="C22" s="137"/>
      <c r="D22" s="137"/>
      <c r="E22" s="256" t="s">
        <v>12</v>
      </c>
      <c r="F22" s="257" t="s">
        <v>13</v>
      </c>
      <c r="G22" s="421" t="s">
        <v>14</v>
      </c>
      <c r="H22" s="436"/>
      <c r="I22" s="258" t="s">
        <v>12</v>
      </c>
      <c r="J22" s="257" t="s">
        <v>13</v>
      </c>
      <c r="K22" s="421" t="s">
        <v>14</v>
      </c>
      <c r="L22" s="436"/>
    </row>
    <row r="23" spans="1:12" ht="17.25" customHeight="1">
      <c r="B23" s="20" t="s">
        <v>15</v>
      </c>
      <c r="C23" s="85" t="s">
        <v>61</v>
      </c>
      <c r="D23" s="85"/>
      <c r="E23" s="249"/>
      <c r="F23" s="22"/>
      <c r="G23" s="60"/>
      <c r="H23" s="61"/>
      <c r="I23" s="21"/>
      <c r="J23" s="22"/>
      <c r="K23" s="60"/>
      <c r="L23" s="61"/>
    </row>
    <row r="24" spans="1:12" ht="17.25" customHeight="1">
      <c r="B24" s="23"/>
      <c r="C24" s="138" t="s">
        <v>62</v>
      </c>
      <c r="D24" s="246"/>
      <c r="E24" s="250"/>
      <c r="F24" s="166">
        <f>F12</f>
        <v>40</v>
      </c>
      <c r="G24" s="102">
        <f>IF($E$25="あり",ROUNDDOWN($F$12*1/25,1),ROUNDDOWN($F$12*1/30,1))</f>
        <v>1.6</v>
      </c>
      <c r="H24" s="103">
        <f>ROUNDDOWN(G24,1)</f>
        <v>1.6</v>
      </c>
      <c r="I24" s="138"/>
      <c r="J24" s="166">
        <f>IF(E7="あり",J12,0)</f>
        <v>0</v>
      </c>
      <c r="K24" s="102">
        <f>IF($E$7="あり",IF(I25="あり",ROUNDDOWN($J$12*1/25,1),ROUNDDOWN($F$12*1/30,1)),0)</f>
        <v>0</v>
      </c>
      <c r="L24" s="103">
        <f>ROUNDDOWN(K24,1)</f>
        <v>0</v>
      </c>
    </row>
    <row r="25" spans="1:12" ht="17.25" customHeight="1">
      <c r="B25" s="23"/>
      <c r="C25" s="140" t="s">
        <v>118</v>
      </c>
      <c r="D25" s="129"/>
      <c r="E25" s="237" t="s">
        <v>18</v>
      </c>
      <c r="F25" s="141"/>
      <c r="G25" s="170"/>
      <c r="H25" s="171"/>
      <c r="I25" s="265" t="str">
        <f>E25</f>
        <v>あり</v>
      </c>
      <c r="J25" s="141"/>
      <c r="K25" s="170"/>
      <c r="L25" s="171"/>
    </row>
    <row r="26" spans="1:12" ht="17.25" customHeight="1">
      <c r="B26" s="23"/>
      <c r="C26" s="24" t="s">
        <v>80</v>
      </c>
      <c r="D26" s="129"/>
      <c r="E26" s="251"/>
      <c r="F26" s="167">
        <f>F13</f>
        <v>35</v>
      </c>
      <c r="G26" s="62">
        <f>IF($E$27="あり",IF($E$28="あり",ROUNDDOWN(($F$13-$F$14)*1/15,1)+ROUNDDOWN($F$14*1/6,1),ROUNDDOWN($F$13*1/15,1)),IF($E$28="あり",ROUNDDOWN(($F$13-$F$14)*1/20,1)+ROUNDDOWN($F$14*1/6,1),ROUNDDOWN($F$13*1/20,1)))</f>
        <v>3.2</v>
      </c>
      <c r="H26" s="63">
        <f>ROUNDDOWN(G26,1)</f>
        <v>3.2</v>
      </c>
      <c r="I26" s="139"/>
      <c r="J26" s="168">
        <f>IF(E$7="あり",J13,0)</f>
        <v>0</v>
      </c>
      <c r="K26" s="62">
        <f>IF(E7="あり",IF($I$27="あり",IF($I$28="あり",ROUNDDOWN(($J$13-$J$14)*1/15,1)+ROUNDDOWN($J$14*1/6,1),ROUNDDOWN($J$13*1/15,1)),IF($I$28="あり",ROUNDDOWN(($J$13-$J$14)*1/20,1)+ROUNDDOWN($J$14*1/6,1),ROUNDDOWN($J$13*1/20,1))),0)</f>
        <v>0</v>
      </c>
      <c r="L26" s="63">
        <f>ROUNDDOWN(K26,1)</f>
        <v>0</v>
      </c>
    </row>
    <row r="27" spans="1:12" ht="17.25" customHeight="1">
      <c r="B27" s="23"/>
      <c r="C27" s="140" t="s">
        <v>81</v>
      </c>
      <c r="D27" s="129"/>
      <c r="E27" s="237" t="s">
        <v>18</v>
      </c>
      <c r="F27" s="141"/>
      <c r="G27" s="170"/>
      <c r="H27" s="171"/>
      <c r="I27" s="265" t="str">
        <f>E27</f>
        <v>あり</v>
      </c>
      <c r="J27" s="141"/>
      <c r="K27" s="170"/>
      <c r="L27" s="171"/>
    </row>
    <row r="28" spans="1:12" ht="17.25" customHeight="1">
      <c r="B28" s="23"/>
      <c r="C28" s="140" t="s">
        <v>82</v>
      </c>
      <c r="D28" s="129"/>
      <c r="E28" s="237" t="s">
        <v>18</v>
      </c>
      <c r="F28" s="141"/>
      <c r="G28" s="170"/>
      <c r="H28" s="171"/>
      <c r="I28" s="265" t="str">
        <f>E28</f>
        <v>あり</v>
      </c>
      <c r="J28" s="141"/>
      <c r="K28" s="170"/>
      <c r="L28" s="171"/>
    </row>
    <row r="29" spans="1:12" ht="17.25" customHeight="1">
      <c r="B29" s="23"/>
      <c r="C29" s="142" t="s">
        <v>58</v>
      </c>
      <c r="D29" s="247"/>
      <c r="E29" s="235"/>
      <c r="F29" s="168">
        <f>F15</f>
        <v>20</v>
      </c>
      <c r="G29" s="108">
        <f>IF(E30="なし",F29*1/6,(F29-F16)*1/6+F16*1/5)</f>
        <v>3.5</v>
      </c>
      <c r="H29" s="109">
        <f>ROUNDDOWN(G29,1)</f>
        <v>3.5</v>
      </c>
      <c r="I29" s="235"/>
      <c r="J29" s="167">
        <f>IF(E$7="あり",J15,0)</f>
        <v>0</v>
      </c>
      <c r="K29" s="367" t="str">
        <f>IF(OR(E7="なし",TRIM(E7)=""),"0.00",IF(I30="なし",J29*1/6,(J29-J16)*1/6+J16*1/5))</f>
        <v>0.00</v>
      </c>
      <c r="L29" s="109">
        <f>ROUNDDOWN(K29,1)</f>
        <v>0</v>
      </c>
    </row>
    <row r="30" spans="1:12" ht="17.25" customHeight="1">
      <c r="B30" s="23"/>
      <c r="C30" s="356" t="s">
        <v>120</v>
      </c>
      <c r="D30" s="320"/>
      <c r="E30" s="352" t="s">
        <v>18</v>
      </c>
      <c r="F30" s="336"/>
      <c r="G30" s="337"/>
      <c r="H30" s="338"/>
      <c r="I30" s="357" t="str">
        <f>E30</f>
        <v>あり</v>
      </c>
      <c r="J30" s="141"/>
      <c r="K30" s="170"/>
      <c r="L30" s="171"/>
    </row>
    <row r="31" spans="1:12" ht="17.25" customHeight="1" thickBot="1">
      <c r="B31" s="23"/>
      <c r="C31" s="90" t="s">
        <v>59</v>
      </c>
      <c r="D31" s="248"/>
      <c r="E31" s="221"/>
      <c r="F31" s="169">
        <f>F17</f>
        <v>10</v>
      </c>
      <c r="G31" s="64">
        <f>F31*1/3</f>
        <v>3.3333333333333335</v>
      </c>
      <c r="H31" s="65">
        <f>ROUNDDOWN(G31,1)</f>
        <v>3.3</v>
      </c>
      <c r="I31" s="221"/>
      <c r="J31" s="316">
        <f>IF(E$7="あり",J17,0)</f>
        <v>0</v>
      </c>
      <c r="K31" s="64">
        <f>J31*1/3</f>
        <v>0</v>
      </c>
      <c r="L31" s="65">
        <f>ROUNDDOWN(K31,1)</f>
        <v>0</v>
      </c>
    </row>
    <row r="32" spans="1:12" ht="17.25" customHeight="1" thickTop="1">
      <c r="B32" s="26"/>
      <c r="C32" s="91" t="s">
        <v>65</v>
      </c>
      <c r="D32" s="143"/>
      <c r="E32" s="252"/>
      <c r="F32" s="28"/>
      <c r="G32" s="66"/>
      <c r="H32" s="67">
        <f>ROUND(SUM(H24:H31),0)</f>
        <v>12</v>
      </c>
      <c r="I32" s="259"/>
      <c r="J32" s="28"/>
      <c r="K32" s="66"/>
      <c r="L32" s="67">
        <f>ROUND(SUM(L24:L31),0)</f>
        <v>0</v>
      </c>
    </row>
    <row r="33" spans="2:12" ht="17.25" customHeight="1">
      <c r="B33" s="31" t="s">
        <v>83</v>
      </c>
      <c r="C33" s="144" t="s">
        <v>84</v>
      </c>
      <c r="D33" s="144"/>
      <c r="E33" s="253"/>
      <c r="F33" s="30"/>
      <c r="G33" s="68"/>
      <c r="H33" s="69">
        <f>IF(F10&lt;=90,1,0.8)</f>
        <v>1</v>
      </c>
      <c r="I33" s="145"/>
      <c r="J33" s="30"/>
      <c r="K33" s="68"/>
      <c r="L33" s="69">
        <f>IF(E7="あり",IF(J10&lt;=90,1,0.8),0)</f>
        <v>0</v>
      </c>
    </row>
    <row r="34" spans="2:12" ht="17.25" customHeight="1">
      <c r="B34" s="31" t="s">
        <v>22</v>
      </c>
      <c r="C34" s="144" t="s">
        <v>85</v>
      </c>
      <c r="D34" s="144"/>
      <c r="E34" s="253"/>
      <c r="F34" s="30"/>
      <c r="G34" s="68"/>
      <c r="H34" s="69">
        <f>IF(F10&lt;=40,1,(IF(F10&lt;=150,2,3)))</f>
        <v>2</v>
      </c>
      <c r="I34" s="145"/>
      <c r="J34" s="30"/>
      <c r="K34" s="68"/>
      <c r="L34" s="69">
        <f>IF(E7="あり",IF(J10&lt;=40,1,(IF(J10&lt;=150,2,3))),0)</f>
        <v>0</v>
      </c>
    </row>
    <row r="35" spans="2:12" ht="17.25" customHeight="1">
      <c r="B35" s="31" t="s">
        <v>86</v>
      </c>
      <c r="C35" s="144" t="s">
        <v>66</v>
      </c>
      <c r="D35" s="144"/>
      <c r="E35" s="240" t="s">
        <v>18</v>
      </c>
      <c r="F35" s="30"/>
      <c r="G35" s="68"/>
      <c r="H35" s="69">
        <f>IF(E35="あり",1.4,0)</f>
        <v>1.4</v>
      </c>
      <c r="I35" s="254" t="s">
        <v>18</v>
      </c>
      <c r="J35" s="264"/>
      <c r="K35" s="68"/>
      <c r="L35" s="69">
        <f>IF(E7="あり",IF(I35="あり",1.4,0),0)</f>
        <v>0</v>
      </c>
    </row>
    <row r="36" spans="2:12" ht="17.25" customHeight="1">
      <c r="B36" s="31" t="s">
        <v>87</v>
      </c>
      <c r="C36" s="144" t="s">
        <v>88</v>
      </c>
      <c r="D36" s="144"/>
      <c r="E36" s="267" t="s">
        <v>18</v>
      </c>
      <c r="F36" s="146"/>
      <c r="G36" s="68"/>
      <c r="H36" s="69">
        <f>IF(E36="あり",1,0)</f>
        <v>1</v>
      </c>
      <c r="I36" s="428" t="str">
        <f>IF($E$7="あり","本園分で選択","－")</f>
        <v>－</v>
      </c>
      <c r="J36" s="429"/>
      <c r="K36" s="68"/>
      <c r="L36" s="260"/>
    </row>
    <row r="37" spans="2:12" ht="17.25" customHeight="1" thickBot="1">
      <c r="B37" s="31" t="s">
        <v>89</v>
      </c>
      <c r="C37" s="144" t="s">
        <v>21</v>
      </c>
      <c r="D37" s="144"/>
      <c r="E37" s="240" t="s">
        <v>18</v>
      </c>
      <c r="F37" s="266"/>
      <c r="G37" s="68"/>
      <c r="H37" s="69">
        <f>IF(E37="あり",0.8,0)</f>
        <v>0.8</v>
      </c>
      <c r="I37" s="428" t="str">
        <f>IF($E$7="あり","本園分で選択","－")</f>
        <v>－</v>
      </c>
      <c r="J37" s="429"/>
      <c r="K37" s="68"/>
      <c r="L37" s="260"/>
    </row>
    <row r="38" spans="2:12" ht="17.25" customHeight="1" thickBot="1">
      <c r="B38" s="31" t="s">
        <v>70</v>
      </c>
      <c r="C38" s="144" t="s">
        <v>23</v>
      </c>
      <c r="D38" s="144"/>
      <c r="E38" s="268" t="s">
        <v>18</v>
      </c>
      <c r="F38" s="1">
        <v>3</v>
      </c>
      <c r="G38" s="68"/>
      <c r="H38" s="69">
        <f>IF(E38="あり",F38,0)</f>
        <v>3</v>
      </c>
      <c r="I38" s="428" t="str">
        <f t="shared" ref="I38:I48" si="0">IF($E$7="あり","本園分で選択","－")</f>
        <v>－</v>
      </c>
      <c r="J38" s="429"/>
      <c r="K38" s="68"/>
      <c r="L38" s="260"/>
    </row>
    <row r="39" spans="2:12" ht="17.25" customHeight="1">
      <c r="B39" s="31" t="s">
        <v>90</v>
      </c>
      <c r="C39" s="144" t="s">
        <v>25</v>
      </c>
      <c r="D39" s="144"/>
      <c r="E39" s="240" t="s">
        <v>18</v>
      </c>
      <c r="F39" s="148"/>
      <c r="G39" s="68"/>
      <c r="H39" s="69">
        <f>IF(F9=0,0,IF(E39="あり",IF(F9&lt;=150,0.8,1.5),0))</f>
        <v>1.5</v>
      </c>
      <c r="I39" s="428" t="str">
        <f t="shared" si="0"/>
        <v>－</v>
      </c>
      <c r="J39" s="429"/>
      <c r="K39" s="68"/>
      <c r="L39" s="260"/>
    </row>
    <row r="40" spans="2:12" ht="17.25" customHeight="1">
      <c r="B40" s="275" t="s">
        <v>34</v>
      </c>
      <c r="C40" s="277" t="s">
        <v>91</v>
      </c>
      <c r="D40" s="286"/>
      <c r="E40" s="293" t="s">
        <v>18</v>
      </c>
      <c r="F40" s="94"/>
      <c r="G40" s="276"/>
      <c r="H40" s="294">
        <f>IF(F9=0,0,IF(E40="あり",IF(F9&lt;=150,2,3),0))</f>
        <v>3</v>
      </c>
      <c r="I40" s="433" t="str">
        <f t="shared" si="0"/>
        <v>－</v>
      </c>
      <c r="J40" s="434"/>
      <c r="K40" s="276"/>
      <c r="L40" s="274"/>
    </row>
    <row r="41" spans="2:12" ht="17.25" customHeight="1">
      <c r="B41" s="31" t="s">
        <v>92</v>
      </c>
      <c r="C41" s="144" t="s">
        <v>68</v>
      </c>
      <c r="D41" s="144"/>
      <c r="E41" s="240" t="s">
        <v>18</v>
      </c>
      <c r="F41" s="30"/>
      <c r="G41" s="68"/>
      <c r="H41" s="69">
        <f>IF(E41="あり",0.5,0)</f>
        <v>0.5</v>
      </c>
      <c r="I41" s="428" t="str">
        <f t="shared" si="0"/>
        <v>－</v>
      </c>
      <c r="J41" s="429"/>
      <c r="K41" s="68"/>
      <c r="L41" s="260"/>
    </row>
    <row r="42" spans="2:12" ht="17.25" customHeight="1">
      <c r="B42" s="31" t="s">
        <v>93</v>
      </c>
      <c r="C42" s="144" t="s">
        <v>31</v>
      </c>
      <c r="D42" s="144"/>
      <c r="E42" s="240" t="s">
        <v>18</v>
      </c>
      <c r="F42" s="30"/>
      <c r="G42" s="68"/>
      <c r="H42" s="69">
        <f>IF(E42="あり",0.8,0)</f>
        <v>0.8</v>
      </c>
      <c r="I42" s="428" t="str">
        <f t="shared" si="0"/>
        <v>－</v>
      </c>
      <c r="J42" s="429"/>
      <c r="K42" s="68"/>
      <c r="L42" s="260"/>
    </row>
    <row r="43" spans="2:12" ht="17.25" customHeight="1">
      <c r="B43" s="31" t="s">
        <v>94</v>
      </c>
      <c r="C43" s="144" t="s">
        <v>33</v>
      </c>
      <c r="D43" s="144"/>
      <c r="E43" s="240" t="s">
        <v>18</v>
      </c>
      <c r="F43" s="30"/>
      <c r="G43" s="68"/>
      <c r="H43" s="69">
        <f>IF(E43="あり",0.8,0)</f>
        <v>0.8</v>
      </c>
      <c r="I43" s="428" t="str">
        <f t="shared" si="0"/>
        <v>－</v>
      </c>
      <c r="J43" s="429"/>
      <c r="K43" s="68"/>
      <c r="L43" s="260"/>
    </row>
    <row r="44" spans="2:12" ht="17.25" customHeight="1">
      <c r="B44" s="31" t="s">
        <v>95</v>
      </c>
      <c r="C44" s="144" t="s">
        <v>35</v>
      </c>
      <c r="D44" s="144"/>
      <c r="E44" s="240" t="s">
        <v>18</v>
      </c>
      <c r="F44" s="30"/>
      <c r="G44" s="68"/>
      <c r="H44" s="69">
        <f>IF(E44="あり",0.8,0)</f>
        <v>0.8</v>
      </c>
      <c r="I44" s="428" t="str">
        <f t="shared" si="0"/>
        <v>－</v>
      </c>
      <c r="J44" s="429"/>
      <c r="K44" s="68"/>
      <c r="L44" s="260"/>
    </row>
    <row r="45" spans="2:12" ht="17.25" customHeight="1">
      <c r="B45" s="31" t="s">
        <v>96</v>
      </c>
      <c r="C45" s="389" t="s">
        <v>37</v>
      </c>
      <c r="D45" s="427"/>
      <c r="E45" s="240" t="s">
        <v>18</v>
      </c>
      <c r="F45" s="146"/>
      <c r="G45" s="68"/>
      <c r="H45" s="69">
        <f>IF(E45="あり",0.6,0)</f>
        <v>0.6</v>
      </c>
      <c r="I45" s="269"/>
      <c r="J45" s="270"/>
      <c r="K45" s="68"/>
      <c r="L45" s="260"/>
    </row>
    <row r="46" spans="2:12" ht="17.25" customHeight="1" thickBot="1">
      <c r="B46" s="31" t="s">
        <v>97</v>
      </c>
      <c r="C46" s="353" t="s">
        <v>39</v>
      </c>
      <c r="D46" s="144"/>
      <c r="E46" s="240" t="s">
        <v>18</v>
      </c>
      <c r="F46" s="146"/>
      <c r="G46" s="68"/>
      <c r="H46" s="70">
        <f>IF(E46="あり",-1,0)</f>
        <v>-1</v>
      </c>
      <c r="I46" s="428" t="str">
        <f t="shared" si="0"/>
        <v>－</v>
      </c>
      <c r="J46" s="429"/>
      <c r="K46" s="68"/>
      <c r="L46" s="261"/>
    </row>
    <row r="47" spans="2:12" ht="44.25" customHeight="1" thickBot="1">
      <c r="B47" s="31" t="s">
        <v>98</v>
      </c>
      <c r="C47" s="435" t="s">
        <v>132</v>
      </c>
      <c r="D47" s="435"/>
      <c r="E47" s="254" t="s">
        <v>99</v>
      </c>
      <c r="F47" s="149">
        <v>2</v>
      </c>
      <c r="G47" s="172"/>
      <c r="H47" s="70">
        <f>IF(E47="該当",-F47,0)</f>
        <v>-2</v>
      </c>
      <c r="I47" s="428" t="str">
        <f t="shared" si="0"/>
        <v>－</v>
      </c>
      <c r="J47" s="429"/>
      <c r="K47" s="172"/>
      <c r="L47" s="261"/>
    </row>
    <row r="48" spans="2:12" ht="24" customHeight="1" thickBot="1">
      <c r="B48" s="31" t="s">
        <v>100</v>
      </c>
      <c r="C48" s="144" t="s">
        <v>101</v>
      </c>
      <c r="D48" s="144"/>
      <c r="E48" s="254" t="s">
        <v>99</v>
      </c>
      <c r="F48" s="149">
        <v>2</v>
      </c>
      <c r="G48" s="172"/>
      <c r="H48" s="70">
        <f>IF(E48="該当",-F48,0)</f>
        <v>-2</v>
      </c>
      <c r="I48" s="428" t="str">
        <f t="shared" si="0"/>
        <v>－</v>
      </c>
      <c r="J48" s="429"/>
      <c r="K48" s="172"/>
      <c r="L48" s="261"/>
    </row>
    <row r="49" spans="1:12" ht="24" customHeight="1" thickBot="1">
      <c r="B49" s="150" t="s">
        <v>71</v>
      </c>
      <c r="C49" s="151"/>
      <c r="D49" s="151"/>
      <c r="E49" s="255"/>
      <c r="F49" s="153"/>
      <c r="G49" s="173">
        <f>F9+F10</f>
        <v>290</v>
      </c>
      <c r="H49" s="72">
        <f>IF(G49&lt;=90,1.4,2.2)</f>
        <v>2.2000000000000002</v>
      </c>
      <c r="I49" s="152"/>
      <c r="J49" s="153"/>
      <c r="K49" s="173">
        <f>IF(E7="あり",J9+J10,0)</f>
        <v>0</v>
      </c>
      <c r="L49" s="72">
        <f>IF(E7="あり",IF(K49&lt;=90,1.4,2.2),0)</f>
        <v>0</v>
      </c>
    </row>
    <row r="50" spans="1:12" ht="24" customHeight="1" thickTop="1" thickBot="1">
      <c r="B50" s="36" t="s">
        <v>42</v>
      </c>
      <c r="E50" s="236"/>
      <c r="F50" s="37"/>
      <c r="G50" s="73"/>
      <c r="H50" s="74">
        <f>SUM(H32:H49)</f>
        <v>26.400000000000002</v>
      </c>
      <c r="I50" s="9"/>
      <c r="J50" s="37"/>
      <c r="K50" s="73"/>
      <c r="L50" s="74">
        <f>SUM(L32:L49)</f>
        <v>0</v>
      </c>
    </row>
    <row r="51" spans="1:12" ht="24" customHeight="1" thickBot="1">
      <c r="B51" s="38" t="s">
        <v>43</v>
      </c>
      <c r="C51" s="39"/>
      <c r="D51" s="39"/>
      <c r="E51" s="209"/>
      <c r="F51" s="40"/>
      <c r="G51" s="75"/>
      <c r="H51" s="192">
        <f>ROUND(H50,0)</f>
        <v>26</v>
      </c>
      <c r="I51" s="39"/>
      <c r="J51" s="40"/>
      <c r="K51" s="75"/>
      <c r="L51" s="192">
        <f>ROUND(L50,0)</f>
        <v>0</v>
      </c>
    </row>
    <row r="52" spans="1:12" ht="12" customHeight="1">
      <c r="G52" s="43"/>
    </row>
    <row r="53" spans="1:12" ht="21.75" customHeight="1" thickBot="1">
      <c r="A53" s="295" t="s">
        <v>127</v>
      </c>
      <c r="E53" s="9"/>
      <c r="G53" s="44"/>
      <c r="H53" s="341" t="s">
        <v>124</v>
      </c>
      <c r="I53" s="342" t="s">
        <v>123</v>
      </c>
    </row>
    <row r="54" spans="1:12" ht="21.75" customHeight="1" thickBot="1">
      <c r="B54" s="49" t="s">
        <v>46</v>
      </c>
      <c r="C54" s="46"/>
      <c r="D54" s="46"/>
      <c r="E54" s="39"/>
      <c r="F54" s="99"/>
      <c r="G54" s="47">
        <f>(H51+L51)/3</f>
        <v>8.6666666666666661</v>
      </c>
      <c r="H54" s="81">
        <f>IF(ROUND(G54,0)=0,1,ROUND(G54,0))</f>
        <v>9</v>
      </c>
      <c r="I54" s="292">
        <v>8</v>
      </c>
    </row>
    <row r="55" spans="1:12" ht="21.75" customHeight="1" thickBot="1">
      <c r="B55" s="48" t="s">
        <v>47</v>
      </c>
      <c r="C55" s="287"/>
      <c r="D55" s="287"/>
      <c r="E55" s="288"/>
      <c r="F55" s="154"/>
      <c r="G55" s="289">
        <f>(H51+L51)/5</f>
        <v>5.2</v>
      </c>
      <c r="H55" s="290">
        <f>IF(ROUND(G55,0)=0,1,ROUND(G55,0))</f>
        <v>5</v>
      </c>
      <c r="I55" s="292">
        <v>5</v>
      </c>
    </row>
    <row r="56" spans="1:12" ht="21.75" customHeight="1">
      <c r="E56" s="9"/>
      <c r="H56" s="43"/>
      <c r="I56" s="10"/>
    </row>
    <row r="57" spans="1:12" ht="21.75" customHeight="1" thickBot="1">
      <c r="A57" s="13" t="s">
        <v>48</v>
      </c>
      <c r="E57" s="9"/>
    </row>
    <row r="58" spans="1:12" ht="21.75" customHeight="1" thickBot="1">
      <c r="B58" s="155"/>
      <c r="C58" s="354">
        <v>50350</v>
      </c>
      <c r="D58" s="50" t="s">
        <v>72</v>
      </c>
      <c r="E58" s="50"/>
      <c r="F58" s="156"/>
      <c r="G58" s="157"/>
      <c r="H58" s="345">
        <f>IF(I54="","実人数を入力してください",IF(ISBLANK(I54),C58*H54,IF(H54&lt;I54,C58*H54,C58*I54)))</f>
        <v>402800</v>
      </c>
    </row>
    <row r="59" spans="1:12" ht="21.75" customHeight="1" thickBot="1">
      <c r="B59" s="158"/>
      <c r="C59" s="53">
        <v>6290</v>
      </c>
      <c r="D59" s="53" t="s">
        <v>73</v>
      </c>
      <c r="E59" s="53"/>
      <c r="F59" s="159"/>
      <c r="G59" s="160"/>
      <c r="H59" s="346">
        <f>IF(I55="","実人数を入力してください",IF(ISBLANK(I55),C59*H55,IF(H55&lt;I55,C59*H55,C59*I55)))</f>
        <v>31450</v>
      </c>
    </row>
    <row r="60" spans="1:12" ht="21.75" customHeight="1" thickTop="1" thickBot="1">
      <c r="B60" s="161"/>
      <c r="C60" s="162" t="s">
        <v>74</v>
      </c>
      <c r="D60" s="163"/>
      <c r="E60" s="163"/>
      <c r="F60" s="163"/>
      <c r="G60" s="163"/>
      <c r="H60" s="323">
        <f>SUM(H58:H59)</f>
        <v>434250</v>
      </c>
    </row>
    <row r="61" spans="1:12" ht="33.75" customHeight="1"/>
    <row r="62" spans="1:12" ht="33.75" customHeight="1"/>
    <row r="63" spans="1:12" ht="33.75" customHeight="1"/>
    <row r="64" spans="1:12" ht="33.75" customHeight="1"/>
    <row r="65" ht="33.75" customHeight="1"/>
    <row r="66" ht="33.75" customHeight="1"/>
    <row r="67" ht="33.75" customHeight="1"/>
    <row r="68" ht="33.75" customHeight="1"/>
    <row r="69" ht="33.75" customHeight="1"/>
    <row r="70" ht="33.7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2">
    <mergeCell ref="I47:J47"/>
    <mergeCell ref="I48:J48"/>
    <mergeCell ref="I39:J39"/>
    <mergeCell ref="I41:J41"/>
    <mergeCell ref="I42:J42"/>
    <mergeCell ref="I43:J43"/>
    <mergeCell ref="C47:D47"/>
    <mergeCell ref="G22:H22"/>
    <mergeCell ref="B8:E8"/>
    <mergeCell ref="B11:E11"/>
    <mergeCell ref="C12:D12"/>
    <mergeCell ref="C13:D13"/>
    <mergeCell ref="C15:D15"/>
    <mergeCell ref="C17:D17"/>
    <mergeCell ref="C10:E10"/>
    <mergeCell ref="C9:E9"/>
    <mergeCell ref="C18:L18"/>
    <mergeCell ref="E21:H21"/>
    <mergeCell ref="I21:L21"/>
    <mergeCell ref="K22:L22"/>
    <mergeCell ref="I36:J36"/>
    <mergeCell ref="I46:J46"/>
    <mergeCell ref="C45:D45"/>
    <mergeCell ref="I40:J40"/>
    <mergeCell ref="B3:C3"/>
    <mergeCell ref="D3:H3"/>
    <mergeCell ref="B6:D6"/>
    <mergeCell ref="B7:D7"/>
    <mergeCell ref="I38:J38"/>
    <mergeCell ref="I37:J37"/>
    <mergeCell ref="I44:J44"/>
    <mergeCell ref="C16:D16"/>
  </mergeCells>
  <phoneticPr fontId="1"/>
  <dataValidations count="2">
    <dataValidation type="list" allowBlank="1" showInputMessage="1" showErrorMessage="1" sqref="E27:E28 E49 I35 E7 I27:I28 I49 E35:E46 E25 I25 E30 I30" xr:uid="{00000000-0002-0000-0200-000000000000}">
      <formula1>"　,あり,なし"</formula1>
    </dataValidation>
    <dataValidation type="list" allowBlank="1" showInputMessage="1" showErrorMessage="1" sqref="E47:E48" xr:uid="{00000000-0002-0000-0200-000001000000}">
      <formula1>"　,該当,非該当"</formula1>
    </dataValidation>
  </dataValidations>
  <pageMargins left="0.92" right="0.56000000000000005" top="0.75" bottom="0.37" header="0.3" footer="0.3"/>
  <pageSetup paperSize="9" scale="56"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104"/>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1.69921875" style="10" hidden="1" customWidth="1"/>
    <col min="8" max="9" width="13.8984375" style="10" customWidth="1"/>
    <col min="10" max="16384" width="9" style="11"/>
  </cols>
  <sheetData>
    <row r="1" spans="1:10" s="8" customFormat="1" ht="31.5" customHeight="1">
      <c r="A1" s="355" t="s">
        <v>133</v>
      </c>
      <c r="B1" s="6"/>
      <c r="C1" s="6"/>
      <c r="D1" s="6"/>
      <c r="E1" s="6"/>
      <c r="F1" s="7"/>
      <c r="G1" s="7"/>
      <c r="H1" s="7"/>
      <c r="I1" s="7"/>
    </row>
    <row r="2" spans="1:10" s="359" customFormat="1" ht="30.75" customHeight="1">
      <c r="A2" s="355" t="s">
        <v>134</v>
      </c>
      <c r="B2" s="41"/>
      <c r="C2" s="41"/>
      <c r="D2" s="41"/>
      <c r="E2" s="41"/>
      <c r="F2" s="358"/>
      <c r="G2" s="358"/>
      <c r="H2" s="358"/>
      <c r="I2" s="358"/>
    </row>
    <row r="3" spans="1:10" s="359" customFormat="1" ht="30.75" customHeight="1">
      <c r="A3" s="355" t="s">
        <v>135</v>
      </c>
      <c r="B3" s="41"/>
      <c r="C3" s="41"/>
      <c r="D3" s="41"/>
      <c r="E3" s="41"/>
      <c r="F3" s="358"/>
      <c r="G3" s="358"/>
      <c r="H3" s="358"/>
      <c r="I3" s="358"/>
    </row>
    <row r="4" spans="1:10" ht="21.75" customHeight="1" thickBot="1">
      <c r="A4" s="5"/>
    </row>
    <row r="5" spans="1:10" ht="19.5" customHeight="1" thickBot="1">
      <c r="A5" s="9"/>
      <c r="B5" s="413" t="s">
        <v>0</v>
      </c>
      <c r="C5" s="413"/>
      <c r="D5" s="410" t="s">
        <v>52</v>
      </c>
      <c r="E5" s="411"/>
      <c r="F5" s="411"/>
      <c r="G5" s="411"/>
      <c r="H5" s="412"/>
    </row>
    <row r="6" spans="1:10" ht="19.5" customHeight="1">
      <c r="A6" s="9"/>
      <c r="C6" s="12"/>
      <c r="D6" s="12"/>
      <c r="E6" s="12"/>
      <c r="F6" s="12"/>
      <c r="G6" s="12"/>
      <c r="H6" s="12"/>
    </row>
    <row r="7" spans="1:10" ht="19.5" customHeight="1" thickBot="1">
      <c r="A7" s="13" t="s">
        <v>79</v>
      </c>
    </row>
    <row r="8" spans="1:10" ht="33.75" customHeight="1">
      <c r="B8" s="407"/>
      <c r="C8" s="389"/>
      <c r="D8" s="390"/>
      <c r="E8" s="18" t="s">
        <v>12</v>
      </c>
      <c r="F8" s="19" t="s">
        <v>13</v>
      </c>
      <c r="G8" s="430" t="s">
        <v>14</v>
      </c>
      <c r="H8" s="452"/>
    </row>
    <row r="9" spans="1:10" ht="24" customHeight="1" thickBot="1">
      <c r="B9" s="20" t="s">
        <v>15</v>
      </c>
      <c r="C9" s="85" t="s">
        <v>61</v>
      </c>
      <c r="D9" s="85"/>
      <c r="E9" s="21"/>
      <c r="F9" s="22"/>
      <c r="G9" s="60"/>
      <c r="H9" s="61"/>
    </row>
    <row r="10" spans="1:10" ht="28.5" customHeight="1" thickBot="1">
      <c r="B10" s="23"/>
      <c r="C10" s="450" t="s">
        <v>102</v>
      </c>
      <c r="D10" s="451"/>
      <c r="E10" s="138"/>
      <c r="F10" s="1">
        <v>1</v>
      </c>
      <c r="G10" s="102">
        <f>F10*1/30</f>
        <v>3.3333333333333333E-2</v>
      </c>
      <c r="H10" s="103">
        <f>ROUNDDOWN(G10,1)</f>
        <v>0</v>
      </c>
      <c r="J10" s="25"/>
    </row>
    <row r="11" spans="1:10" ht="28.5" customHeight="1" thickBot="1">
      <c r="B11" s="23"/>
      <c r="C11" s="440" t="s">
        <v>103</v>
      </c>
      <c r="D11" s="441"/>
      <c r="E11" s="24"/>
      <c r="F11" s="1">
        <v>5</v>
      </c>
      <c r="G11" s="62">
        <f>F11*1/20</f>
        <v>0.25</v>
      </c>
      <c r="H11" s="63">
        <f>ROUNDDOWN(G11,1)</f>
        <v>0.2</v>
      </c>
      <c r="J11" s="25"/>
    </row>
    <row r="12" spans="1:10" ht="28.5" customHeight="1" thickBot="1">
      <c r="B12" s="23"/>
      <c r="C12" s="440" t="s">
        <v>104</v>
      </c>
      <c r="D12" s="441"/>
      <c r="E12" s="24"/>
      <c r="F12" s="1">
        <v>10</v>
      </c>
      <c r="G12" s="62">
        <f>IF(E13="なし",F12*1/6,(F12-F13)*1/6+F13*1/5)</f>
        <v>1.8333333333333335</v>
      </c>
      <c r="H12" s="63">
        <f>ROUNDDOWN(G12,1)</f>
        <v>1.8</v>
      </c>
      <c r="J12" s="25"/>
    </row>
    <row r="13" spans="1:10" ht="28.5" customHeight="1" thickBot="1">
      <c r="B13" s="23"/>
      <c r="C13" s="442" t="s">
        <v>136</v>
      </c>
      <c r="D13" s="443"/>
      <c r="E13" s="117" t="s">
        <v>18</v>
      </c>
      <c r="F13" s="1">
        <v>5</v>
      </c>
      <c r="G13" s="339"/>
      <c r="H13" s="340"/>
      <c r="J13" s="25"/>
    </row>
    <row r="14" spans="1:10" ht="28.5" customHeight="1" thickBot="1">
      <c r="B14" s="23"/>
      <c r="C14" s="440" t="s">
        <v>105</v>
      </c>
      <c r="D14" s="396"/>
      <c r="E14" s="24"/>
      <c r="F14" s="1">
        <v>4</v>
      </c>
      <c r="G14" s="62">
        <f>F14*1/3</f>
        <v>1.3333333333333333</v>
      </c>
      <c r="H14" s="63">
        <f>ROUNDDOWN(G14,1)</f>
        <v>1.3</v>
      </c>
      <c r="J14" s="25"/>
    </row>
    <row r="15" spans="1:10" ht="24" customHeight="1" thickBot="1">
      <c r="B15" s="23"/>
      <c r="C15" s="395" t="s">
        <v>106</v>
      </c>
      <c r="D15" s="396"/>
      <c r="E15" s="117" t="s">
        <v>18</v>
      </c>
      <c r="F15" s="1">
        <v>6</v>
      </c>
      <c r="G15" s="62">
        <f>IF(E15="あり",F15/2,0)</f>
        <v>3</v>
      </c>
      <c r="H15" s="63">
        <f>ROUNDDOWN(G15,1)</f>
        <v>3</v>
      </c>
      <c r="J15" s="25"/>
    </row>
    <row r="16" spans="1:10" ht="24" customHeight="1" thickBot="1">
      <c r="B16" s="26"/>
      <c r="C16" s="448" t="s">
        <v>107</v>
      </c>
      <c r="D16" s="449"/>
      <c r="E16" s="118"/>
      <c r="F16" s="119"/>
      <c r="G16" s="123"/>
      <c r="H16" s="124">
        <v>1</v>
      </c>
      <c r="J16" s="25"/>
    </row>
    <row r="17" spans="1:10" ht="24" customHeight="1" thickTop="1">
      <c r="B17" s="26"/>
      <c r="C17" s="446" t="s">
        <v>65</v>
      </c>
      <c r="D17" s="447"/>
      <c r="E17" s="27"/>
      <c r="F17" s="28"/>
      <c r="G17" s="66"/>
      <c r="H17" s="67">
        <f>ROUND(SUM(H10:H16),0)</f>
        <v>7</v>
      </c>
      <c r="J17" s="25"/>
    </row>
    <row r="18" spans="1:10" ht="24" customHeight="1">
      <c r="B18" s="29" t="s">
        <v>20</v>
      </c>
      <c r="C18" s="389" t="s">
        <v>137</v>
      </c>
      <c r="D18" s="390"/>
      <c r="E18" s="4" t="s">
        <v>18</v>
      </c>
      <c r="F18" s="30"/>
      <c r="G18" s="68"/>
      <c r="H18" s="69">
        <f>IF(E18="あり",0.4,0)</f>
        <v>0.4</v>
      </c>
    </row>
    <row r="19" spans="1:10" ht="24" customHeight="1">
      <c r="B19" s="29" t="s">
        <v>22</v>
      </c>
      <c r="C19" s="389" t="s">
        <v>68</v>
      </c>
      <c r="D19" s="390"/>
      <c r="E19" s="4" t="s">
        <v>18</v>
      </c>
      <c r="F19" s="30"/>
      <c r="G19" s="68"/>
      <c r="H19" s="69">
        <f>IF(E19="あり",0.5,0)</f>
        <v>0.5</v>
      </c>
    </row>
    <row r="20" spans="1:10" ht="24" customHeight="1">
      <c r="B20" s="29" t="s">
        <v>86</v>
      </c>
      <c r="C20" s="144" t="s">
        <v>37</v>
      </c>
      <c r="D20" s="271"/>
      <c r="E20" s="4" t="s">
        <v>18</v>
      </c>
      <c r="F20" s="30"/>
      <c r="G20" s="68"/>
      <c r="H20" s="69">
        <f>IF(E20="あり",0.6,0)</f>
        <v>0.6</v>
      </c>
    </row>
    <row r="21" spans="1:10" ht="27.75" customHeight="1">
      <c r="B21" s="31" t="s">
        <v>87</v>
      </c>
      <c r="C21" s="444" t="s">
        <v>108</v>
      </c>
      <c r="D21" s="445"/>
      <c r="E21" s="4" t="s">
        <v>18</v>
      </c>
      <c r="F21" s="30"/>
      <c r="G21" s="68"/>
      <c r="H21" s="70">
        <f>IF(E21="あり",-1,0)</f>
        <v>-1</v>
      </c>
    </row>
    <row r="22" spans="1:10" ht="27.75" customHeight="1" thickBot="1">
      <c r="B22" s="32" t="s">
        <v>109</v>
      </c>
      <c r="C22" s="33"/>
      <c r="D22" s="33"/>
      <c r="E22" s="34"/>
      <c r="F22" s="35"/>
      <c r="G22" s="71"/>
      <c r="H22" s="114">
        <v>1.3</v>
      </c>
    </row>
    <row r="23" spans="1:10" ht="24" customHeight="1" thickTop="1" thickBot="1">
      <c r="B23" s="36" t="s">
        <v>42</v>
      </c>
      <c r="F23" s="37"/>
      <c r="G23" s="73"/>
      <c r="H23" s="74">
        <f>SUM(H17:H22)</f>
        <v>8.8000000000000007</v>
      </c>
    </row>
    <row r="24" spans="1:10" ht="24" customHeight="1" thickBot="1">
      <c r="B24" s="120" t="s">
        <v>43</v>
      </c>
      <c r="C24" s="121"/>
      <c r="D24" s="121"/>
      <c r="E24" s="121"/>
      <c r="F24" s="122"/>
      <c r="G24" s="75"/>
      <c r="H24" s="192">
        <f>ROUND(H23,0)</f>
        <v>9</v>
      </c>
    </row>
    <row r="25" spans="1:10" ht="24" customHeight="1">
      <c r="B25" s="41"/>
      <c r="G25" s="42"/>
      <c r="H25" s="43"/>
    </row>
    <row r="26" spans="1:10" ht="33.75" customHeight="1" thickBot="1">
      <c r="A26" s="13" t="s">
        <v>127</v>
      </c>
      <c r="F26" s="9"/>
      <c r="H26" s="360" t="s">
        <v>124</v>
      </c>
      <c r="I26" s="361" t="s">
        <v>123</v>
      </c>
    </row>
    <row r="27" spans="1:10" ht="25.5" customHeight="1" thickBot="1">
      <c r="B27" s="368" t="s">
        <v>46</v>
      </c>
      <c r="C27" s="369"/>
      <c r="D27" s="369"/>
      <c r="E27" s="369"/>
      <c r="F27" s="370"/>
      <c r="G27" s="47">
        <f>H24/3</f>
        <v>3</v>
      </c>
      <c r="H27" s="81">
        <f>IF(ROUND(G27,0)=0,1,ROUND(G27,0))</f>
        <v>3</v>
      </c>
      <c r="I27" s="292">
        <v>3</v>
      </c>
    </row>
    <row r="28" spans="1:10" ht="25.5" customHeight="1" thickBot="1">
      <c r="B28" s="325" t="s">
        <v>47</v>
      </c>
      <c r="C28" s="326"/>
      <c r="D28" s="326"/>
      <c r="E28" s="326"/>
      <c r="F28" s="327"/>
      <c r="G28" s="47">
        <f>H24/5</f>
        <v>1.8</v>
      </c>
      <c r="H28" s="81">
        <f>IF(ROUND(G28,0)=0,1,ROUND(G28,0))</f>
        <v>2</v>
      </c>
      <c r="I28" s="292">
        <v>2</v>
      </c>
    </row>
    <row r="29" spans="1:10" ht="25.5" customHeight="1">
      <c r="F29" s="9"/>
      <c r="H29" s="43"/>
      <c r="I29" s="11"/>
    </row>
    <row r="30" spans="1:10" ht="25.5" customHeight="1" thickBot="1">
      <c r="A30" s="13" t="s">
        <v>48</v>
      </c>
      <c r="F30" s="9"/>
      <c r="I30" s="11"/>
    </row>
    <row r="31" spans="1:10" ht="25.5" customHeight="1" thickBot="1">
      <c r="B31" s="49"/>
      <c r="C31" s="50">
        <v>49020</v>
      </c>
      <c r="D31" s="46" t="s">
        <v>72</v>
      </c>
      <c r="E31" s="46"/>
      <c r="F31" s="46"/>
      <c r="G31" s="51"/>
      <c r="H31" s="362">
        <f>IF(I27="","実人数を入力してください",IF(ISBLANK(I27),C31*H27,IF(H27&lt;I27,C31*H27,C31*I27)))</f>
        <v>147060</v>
      </c>
      <c r="I31" s="11"/>
    </row>
    <row r="32" spans="1:10" ht="25.5" customHeight="1" thickBot="1">
      <c r="B32" s="52"/>
      <c r="C32" s="53">
        <v>6130</v>
      </c>
      <c r="D32" s="54" t="s">
        <v>73</v>
      </c>
      <c r="E32" s="54"/>
      <c r="F32" s="54"/>
      <c r="G32" s="55"/>
      <c r="H32" s="365">
        <f>IF(I28="","実人数を入力してください",IF(ISBLANK(I28),C32*H28,IF(H28&lt;I28,C32*H28,C32*I28)))</f>
        <v>12260</v>
      </c>
      <c r="I32" s="11"/>
    </row>
    <row r="33" spans="2:8" ht="25.5" customHeight="1" thickTop="1" thickBot="1">
      <c r="B33" s="56"/>
      <c r="C33" s="57" t="s">
        <v>74</v>
      </c>
      <c r="D33" s="57"/>
      <c r="E33" s="59"/>
      <c r="F33" s="59"/>
      <c r="G33" s="59"/>
      <c r="H33" s="323">
        <f>SUM(H31:H32)</f>
        <v>159320</v>
      </c>
    </row>
    <row r="34" spans="2:8" ht="33.75" customHeight="1"/>
    <row r="35" spans="2:8" ht="33.75" customHeight="1"/>
    <row r="36" spans="2:8" ht="33.75" customHeight="1"/>
    <row r="37" spans="2:8" ht="33.75" customHeight="1"/>
    <row r="38" spans="2:8" ht="33.75" customHeight="1"/>
    <row r="39" spans="2:8" ht="33.75" customHeight="1"/>
    <row r="40" spans="2:8" ht="33.75" customHeight="1"/>
    <row r="41" spans="2:8" ht="33.75" customHeight="1"/>
    <row r="42" spans="2:8" ht="33.75" customHeight="1"/>
    <row r="43" spans="2:8" ht="33.75" customHeight="1"/>
    <row r="44" spans="2:8" ht="20.25" customHeight="1"/>
    <row r="45" spans="2:8" ht="20.25" customHeight="1"/>
    <row r="46" spans="2:8" ht="20.25" customHeight="1"/>
    <row r="47" spans="2:8" ht="20.25" customHeight="1"/>
    <row r="48" spans="2: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B5:C5"/>
    <mergeCell ref="C10:D10"/>
    <mergeCell ref="C11:D11"/>
    <mergeCell ref="D5:H5"/>
    <mergeCell ref="G8:H8"/>
    <mergeCell ref="C21:D21"/>
    <mergeCell ref="C19:D19"/>
    <mergeCell ref="C18:D18"/>
    <mergeCell ref="C17:D17"/>
    <mergeCell ref="C16:D16"/>
    <mergeCell ref="C14:D14"/>
    <mergeCell ref="C15:D15"/>
    <mergeCell ref="C12:D12"/>
    <mergeCell ref="B8:D8"/>
    <mergeCell ref="C13:D13"/>
  </mergeCells>
  <phoneticPr fontId="1"/>
  <dataValidations count="1">
    <dataValidation type="list" allowBlank="1" showInputMessage="1" showErrorMessage="1" sqref="E15 E18:E21 E13" xr:uid="{00000000-0002-0000-0300-000000000000}">
      <formula1>"　,あり,なし"</formula1>
    </dataValidation>
  </dataValidations>
  <pageMargins left="0.92" right="0.56000000000000005" top="0.75" bottom="0.37" header="0.3" footer="0.3"/>
  <pageSetup paperSize="9" scale="8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J106"/>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8" style="10" customWidth="1"/>
    <col min="7" max="7" width="10.19921875" style="10" hidden="1" customWidth="1"/>
    <col min="8" max="9" width="14.3984375" style="10" customWidth="1"/>
    <col min="10" max="16384" width="9" style="11"/>
  </cols>
  <sheetData>
    <row r="1" spans="1:10" s="8" customFormat="1" ht="31.5" customHeight="1">
      <c r="A1" s="5" t="s">
        <v>133</v>
      </c>
      <c r="B1" s="6"/>
      <c r="C1" s="6"/>
      <c r="D1" s="6"/>
      <c r="E1" s="6"/>
      <c r="F1" s="7"/>
      <c r="G1" s="7"/>
      <c r="H1" s="7"/>
      <c r="I1" s="7"/>
    </row>
    <row r="2" spans="1:10" ht="30.75" customHeight="1">
      <c r="A2" s="5" t="s">
        <v>138</v>
      </c>
    </row>
    <row r="3" spans="1:10" ht="21.75" customHeight="1" thickBot="1">
      <c r="A3" s="5"/>
    </row>
    <row r="4" spans="1:10" ht="19.5" customHeight="1" thickBot="1">
      <c r="A4" s="9"/>
      <c r="B4" s="413" t="s">
        <v>0</v>
      </c>
      <c r="C4" s="413"/>
      <c r="D4" s="410" t="s">
        <v>52</v>
      </c>
      <c r="E4" s="411"/>
      <c r="F4" s="411"/>
      <c r="G4" s="411"/>
      <c r="H4" s="412"/>
    </row>
    <row r="5" spans="1:10" ht="19.5" customHeight="1">
      <c r="A5" s="9"/>
      <c r="C5" s="12"/>
      <c r="D5" s="12"/>
      <c r="E5" s="12"/>
      <c r="F5" s="12"/>
      <c r="G5" s="12"/>
      <c r="H5" s="12"/>
    </row>
    <row r="6" spans="1:10" ht="19.5" customHeight="1" thickBot="1">
      <c r="A6" s="13" t="s">
        <v>2</v>
      </c>
      <c r="E6" s="12"/>
      <c r="F6" s="12"/>
      <c r="G6" s="12"/>
      <c r="H6" s="12"/>
    </row>
    <row r="7" spans="1:10" ht="35.25" customHeight="1" thickBot="1">
      <c r="A7" s="13"/>
      <c r="B7" s="408"/>
      <c r="C7" s="409"/>
      <c r="D7" s="409"/>
      <c r="E7" s="409"/>
      <c r="F7" s="14" t="s">
        <v>13</v>
      </c>
      <c r="G7" s="12"/>
      <c r="H7" s="12"/>
      <c r="I7" s="12"/>
      <c r="J7" s="10"/>
    </row>
    <row r="8" spans="1:10" ht="19.5" customHeight="1" thickBot="1">
      <c r="A8" s="13"/>
      <c r="B8" s="407" t="s">
        <v>4</v>
      </c>
      <c r="C8" s="389"/>
      <c r="D8" s="389"/>
      <c r="E8" s="389"/>
      <c r="F8" s="1">
        <v>31</v>
      </c>
      <c r="G8" s="12"/>
      <c r="H8" s="12"/>
      <c r="I8" s="12"/>
      <c r="J8" s="10"/>
    </row>
    <row r="9" spans="1:10" ht="19.5" customHeight="1">
      <c r="A9" s="13"/>
      <c r="B9" s="15"/>
      <c r="C9" s="15"/>
      <c r="D9" s="15"/>
      <c r="E9" s="15"/>
      <c r="F9" s="16"/>
      <c r="G9" s="12"/>
      <c r="H9" s="12"/>
      <c r="I9" s="12"/>
      <c r="J9" s="10"/>
    </row>
    <row r="10" spans="1:10" ht="19.5" customHeight="1" thickBot="1">
      <c r="A10" s="13" t="s">
        <v>79</v>
      </c>
    </row>
    <row r="11" spans="1:10" ht="33.75" customHeight="1">
      <c r="B11" s="17"/>
      <c r="C11" s="389"/>
      <c r="D11" s="390"/>
      <c r="E11" s="18" t="s">
        <v>12</v>
      </c>
      <c r="F11" s="19" t="s">
        <v>13</v>
      </c>
      <c r="G11" s="455" t="s">
        <v>14</v>
      </c>
      <c r="H11" s="456"/>
    </row>
    <row r="12" spans="1:10" ht="24" customHeight="1" thickBot="1">
      <c r="B12" s="20" t="s">
        <v>15</v>
      </c>
      <c r="C12" s="406" t="s">
        <v>61</v>
      </c>
      <c r="D12" s="457"/>
      <c r="E12" s="21"/>
      <c r="F12" s="22"/>
      <c r="G12" s="60"/>
      <c r="H12" s="61"/>
    </row>
    <row r="13" spans="1:10" ht="33.75" customHeight="1" thickBot="1">
      <c r="B13" s="26"/>
      <c r="C13" s="450" t="s">
        <v>102</v>
      </c>
      <c r="D13" s="451"/>
      <c r="E13" s="138"/>
      <c r="F13" s="1">
        <v>1</v>
      </c>
      <c r="G13" s="102">
        <f>F13*1/30</f>
        <v>3.3333333333333333E-2</v>
      </c>
      <c r="H13" s="103">
        <f>ROUNDDOWN(G13,1)</f>
        <v>0</v>
      </c>
    </row>
    <row r="14" spans="1:10" ht="33.75" customHeight="1" thickBot="1">
      <c r="B14" s="26"/>
      <c r="C14" s="440" t="s">
        <v>103</v>
      </c>
      <c r="D14" s="441"/>
      <c r="E14" s="24"/>
      <c r="F14" s="1">
        <v>2</v>
      </c>
      <c r="G14" s="62">
        <f>F14*1/20</f>
        <v>0.1</v>
      </c>
      <c r="H14" s="63">
        <f>ROUNDDOWN(G14,1)</f>
        <v>0.1</v>
      </c>
    </row>
    <row r="15" spans="1:10" ht="33" customHeight="1" thickBot="1">
      <c r="B15" s="23"/>
      <c r="C15" s="440" t="s">
        <v>110</v>
      </c>
      <c r="D15" s="441"/>
      <c r="E15" s="24"/>
      <c r="F15" s="1">
        <v>10</v>
      </c>
      <c r="G15" s="62">
        <f>IF(E16="なし",F15*1/6,(F15-F16)*1/6+F16*1/5)</f>
        <v>1.8333333333333335</v>
      </c>
      <c r="H15" s="63">
        <f>ROUNDDOWN(G15,1)</f>
        <v>1.8</v>
      </c>
      <c r="J15" s="25"/>
    </row>
    <row r="16" spans="1:10" ht="33" customHeight="1" thickBot="1">
      <c r="B16" s="23"/>
      <c r="C16" s="442" t="s">
        <v>136</v>
      </c>
      <c r="D16" s="443"/>
      <c r="E16" s="117" t="s">
        <v>18</v>
      </c>
      <c r="F16" s="1">
        <v>5</v>
      </c>
      <c r="G16" s="339"/>
      <c r="H16" s="340"/>
      <c r="J16" s="25"/>
    </row>
    <row r="17" spans="1:10" ht="30.75" customHeight="1" thickBot="1">
      <c r="B17" s="23"/>
      <c r="C17" s="440" t="s">
        <v>105</v>
      </c>
      <c r="D17" s="396"/>
      <c r="E17" s="24"/>
      <c r="F17" s="1">
        <v>4</v>
      </c>
      <c r="G17" s="62">
        <f>F17*1/3</f>
        <v>1.3333333333333333</v>
      </c>
      <c r="H17" s="63">
        <f>ROUNDDOWN(G17,1)</f>
        <v>1.3</v>
      </c>
      <c r="J17" s="25"/>
    </row>
    <row r="18" spans="1:10" ht="30.75" customHeight="1" thickBot="1">
      <c r="B18" s="23"/>
      <c r="C18" s="448" t="s">
        <v>106</v>
      </c>
      <c r="D18" s="449"/>
      <c r="E18" s="3" t="s">
        <v>111</v>
      </c>
      <c r="F18" s="2">
        <v>5</v>
      </c>
      <c r="G18" s="64">
        <f>IF(E18="あり",F18/2,0)</f>
        <v>0</v>
      </c>
      <c r="H18" s="65">
        <f>ROUNDDOWN(G18,1)</f>
        <v>0</v>
      </c>
      <c r="J18" s="25"/>
    </row>
    <row r="19" spans="1:10" ht="24" customHeight="1" thickTop="1">
      <c r="B19" s="26"/>
      <c r="C19" s="453" t="s">
        <v>65</v>
      </c>
      <c r="D19" s="454"/>
      <c r="E19" s="27"/>
      <c r="F19" s="28"/>
      <c r="G19" s="66"/>
      <c r="H19" s="67">
        <f>ROUND(SUM(H13:H18),0)</f>
        <v>3</v>
      </c>
      <c r="J19" s="25"/>
    </row>
    <row r="20" spans="1:10" ht="24" customHeight="1">
      <c r="B20" s="29" t="s">
        <v>20</v>
      </c>
      <c r="C20" s="389" t="s">
        <v>137</v>
      </c>
      <c r="D20" s="390"/>
      <c r="E20" s="4" t="s">
        <v>18</v>
      </c>
      <c r="F20" s="30"/>
      <c r="G20" s="68"/>
      <c r="H20" s="69">
        <f>IF(E20="あり",1.4,0)</f>
        <v>1.4</v>
      </c>
    </row>
    <row r="21" spans="1:10" ht="24" customHeight="1">
      <c r="B21" s="29" t="s">
        <v>22</v>
      </c>
      <c r="C21" s="389" t="s">
        <v>68</v>
      </c>
      <c r="D21" s="390"/>
      <c r="E21" s="4" t="s">
        <v>18</v>
      </c>
      <c r="F21" s="30"/>
      <c r="G21" s="68"/>
      <c r="H21" s="69">
        <f>IF(E21="あり",0.5,0)</f>
        <v>0.5</v>
      </c>
    </row>
    <row r="22" spans="1:10" ht="24" customHeight="1">
      <c r="B22" s="29" t="s">
        <v>86</v>
      </c>
      <c r="C22" s="144" t="s">
        <v>37</v>
      </c>
      <c r="D22" s="271"/>
      <c r="E22" s="4" t="s">
        <v>18</v>
      </c>
      <c r="F22" s="30"/>
      <c r="G22" s="68"/>
      <c r="H22" s="69">
        <f>IF(E22="あり",0.6,0)</f>
        <v>0.6</v>
      </c>
    </row>
    <row r="23" spans="1:10" ht="27.75" customHeight="1">
      <c r="B23" s="31" t="s">
        <v>87</v>
      </c>
      <c r="C23" s="444" t="s">
        <v>108</v>
      </c>
      <c r="D23" s="445"/>
      <c r="E23" s="4" t="s">
        <v>18</v>
      </c>
      <c r="F23" s="30"/>
      <c r="G23" s="68"/>
      <c r="H23" s="70">
        <f>IF(E23="あり",IF(F8&lt;=40,-1,-2),0)</f>
        <v>-1</v>
      </c>
    </row>
    <row r="24" spans="1:10" ht="27.75" customHeight="1" thickBot="1">
      <c r="B24" s="32" t="s">
        <v>112</v>
      </c>
      <c r="C24" s="33"/>
      <c r="D24" s="33"/>
      <c r="E24" s="34"/>
      <c r="F24" s="35"/>
      <c r="G24" s="71"/>
      <c r="H24" s="72">
        <f>IF(F8&lt;=40,1.5,2.5)</f>
        <v>1.5</v>
      </c>
    </row>
    <row r="25" spans="1:10" ht="24" customHeight="1" thickTop="1" thickBot="1">
      <c r="B25" s="36" t="s">
        <v>42</v>
      </c>
      <c r="F25" s="37"/>
      <c r="G25" s="73"/>
      <c r="H25" s="74">
        <f>SUM(H19:H24)</f>
        <v>6</v>
      </c>
    </row>
    <row r="26" spans="1:10" ht="24" customHeight="1" thickBot="1">
      <c r="B26" s="38" t="s">
        <v>43</v>
      </c>
      <c r="C26" s="39"/>
      <c r="D26" s="39"/>
      <c r="E26" s="39"/>
      <c r="F26" s="40"/>
      <c r="G26" s="75"/>
      <c r="H26" s="192">
        <f>ROUND(H25,0)</f>
        <v>6</v>
      </c>
    </row>
    <row r="27" spans="1:10" ht="24" customHeight="1">
      <c r="B27" s="41"/>
      <c r="G27" s="77"/>
      <c r="H27" s="78"/>
    </row>
    <row r="28" spans="1:10" ht="33.75" customHeight="1" thickBot="1">
      <c r="A28" s="13" t="s">
        <v>127</v>
      </c>
      <c r="F28" s="9"/>
      <c r="G28" s="79"/>
      <c r="H28" s="360" t="s">
        <v>124</v>
      </c>
      <c r="I28" s="361" t="s">
        <v>123</v>
      </c>
    </row>
    <row r="29" spans="1:10" ht="25.5" customHeight="1" thickBot="1">
      <c r="B29" s="45" t="s">
        <v>46</v>
      </c>
      <c r="C29" s="46"/>
      <c r="D29" s="46"/>
      <c r="E29" s="46"/>
      <c r="F29" s="39"/>
      <c r="G29" s="80">
        <f>H26/3</f>
        <v>2</v>
      </c>
      <c r="H29" s="81">
        <f>IF(ROUND(G29,0)=0,1,ROUND(G29,0))</f>
        <v>2</v>
      </c>
      <c r="I29" s="292">
        <v>2</v>
      </c>
    </row>
    <row r="30" spans="1:10" ht="25.5" customHeight="1" thickBot="1">
      <c r="B30" s="49" t="s">
        <v>47</v>
      </c>
      <c r="C30" s="46"/>
      <c r="D30" s="46"/>
      <c r="E30" s="46"/>
      <c r="F30" s="39"/>
      <c r="G30" s="80">
        <f>H26/5</f>
        <v>1.2</v>
      </c>
      <c r="H30" s="81">
        <f>IF(ROUND(G30,0)=0,1,ROUND(G30,0))</f>
        <v>1</v>
      </c>
      <c r="I30" s="292">
        <v>1</v>
      </c>
    </row>
    <row r="31" spans="1:10" ht="25.5" customHeight="1">
      <c r="F31" s="9"/>
      <c r="G31" s="79"/>
      <c r="H31" s="78"/>
      <c r="I31" s="11"/>
    </row>
    <row r="32" spans="1:10" ht="25.5" customHeight="1" thickBot="1">
      <c r="A32" s="13" t="s">
        <v>48</v>
      </c>
      <c r="F32" s="9"/>
      <c r="G32" s="79"/>
      <c r="H32" s="79"/>
      <c r="I32" s="11"/>
    </row>
    <row r="33" spans="2:9" ht="25.5" customHeight="1" thickBot="1">
      <c r="B33" s="49"/>
      <c r="C33" s="50">
        <v>49020</v>
      </c>
      <c r="D33" s="46" t="s">
        <v>72</v>
      </c>
      <c r="E33" s="46"/>
      <c r="F33" s="46"/>
      <c r="G33" s="82"/>
      <c r="H33" s="362">
        <f>IF(I29="","実人数を入力してください",IF(ISBLANK(I29),C33*H29,IF(H29&lt;I29,C33*H29,C33*I29)))</f>
        <v>98040</v>
      </c>
      <c r="I33" s="11"/>
    </row>
    <row r="34" spans="2:9" ht="25.5" customHeight="1" thickBot="1">
      <c r="B34" s="52"/>
      <c r="C34" s="53">
        <v>6130</v>
      </c>
      <c r="D34" s="54" t="s">
        <v>73</v>
      </c>
      <c r="E34" s="54"/>
      <c r="F34" s="54"/>
      <c r="G34" s="83"/>
      <c r="H34" s="365">
        <f>IF(I30="","実人数を入力してください",IF(ISBLANK(I30),C34*H30,IF(H30&lt;I30,C34*H30,C34*I30)))</f>
        <v>6130</v>
      </c>
      <c r="I34" s="11"/>
    </row>
    <row r="35" spans="2:9" ht="25.5" customHeight="1" thickTop="1" thickBot="1">
      <c r="B35" s="56"/>
      <c r="C35" s="57" t="s">
        <v>74</v>
      </c>
      <c r="D35" s="57"/>
      <c r="E35" s="58"/>
      <c r="F35" s="59"/>
      <c r="G35" s="84"/>
      <c r="H35" s="323">
        <f>SUM(H33:H34)</f>
        <v>104170</v>
      </c>
    </row>
    <row r="36" spans="2:9" ht="33.75" customHeight="1"/>
    <row r="37" spans="2:9" ht="33.75" customHeight="1"/>
    <row r="38" spans="2:9" ht="33.75" customHeight="1"/>
    <row r="39" spans="2:9" ht="33.75" customHeight="1"/>
    <row r="40" spans="2:9" ht="33.75" customHeight="1"/>
    <row r="41" spans="2:9" ht="33.75" customHeight="1"/>
    <row r="42" spans="2:9" ht="33.75" customHeight="1"/>
    <row r="43" spans="2:9" ht="33.75" customHeight="1"/>
    <row r="44" spans="2:9" ht="33.75" customHeight="1"/>
    <row r="45" spans="2:9" ht="33.7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17">
    <mergeCell ref="B4:C4"/>
    <mergeCell ref="C13:D13"/>
    <mergeCell ref="C14:D14"/>
    <mergeCell ref="D4:H4"/>
    <mergeCell ref="B7:E7"/>
    <mergeCell ref="B8:E8"/>
    <mergeCell ref="G11:H11"/>
    <mergeCell ref="C11:D11"/>
    <mergeCell ref="C12:D12"/>
    <mergeCell ref="C15:D15"/>
    <mergeCell ref="C21:D21"/>
    <mergeCell ref="C23:D23"/>
    <mergeCell ref="C18:D18"/>
    <mergeCell ref="C17:D17"/>
    <mergeCell ref="C19:D19"/>
    <mergeCell ref="C20:D20"/>
    <mergeCell ref="C16:D16"/>
  </mergeCells>
  <phoneticPr fontId="1"/>
  <dataValidations count="1">
    <dataValidation type="list" allowBlank="1" showInputMessage="1" showErrorMessage="1" sqref="E18 E20:E23 E16" xr:uid="{00000000-0002-0000-0400-000000000000}">
      <formula1>"　,あり,なし"</formula1>
    </dataValidation>
  </dataValidations>
  <pageMargins left="0.92" right="0.56000000000000005" top="0.75" bottom="0.37" header="0.3" footer="0.3"/>
  <pageSetup paperSize="9" scale="8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100"/>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7.09765625" style="10" hidden="1" customWidth="1"/>
    <col min="8" max="9" width="13.69921875" style="10" customWidth="1"/>
    <col min="10" max="16384" width="9" style="11"/>
  </cols>
  <sheetData>
    <row r="1" spans="1:10" s="8" customFormat="1" ht="25.5" customHeight="1">
      <c r="A1" s="5" t="s">
        <v>133</v>
      </c>
      <c r="B1" s="6"/>
      <c r="C1" s="6"/>
      <c r="D1" s="6"/>
      <c r="E1" s="6"/>
      <c r="F1" s="7"/>
      <c r="G1" s="7"/>
      <c r="H1" s="7"/>
      <c r="I1" s="7"/>
    </row>
    <row r="2" spans="1:10" ht="25.5" customHeight="1">
      <c r="A2" s="5" t="s">
        <v>139</v>
      </c>
    </row>
    <row r="3" spans="1:10" ht="25.5" customHeight="1" thickBot="1">
      <c r="A3" s="5"/>
    </row>
    <row r="4" spans="1:10" ht="25.5" customHeight="1" thickBot="1">
      <c r="A4" s="9"/>
      <c r="B4" s="413" t="s">
        <v>0</v>
      </c>
      <c r="C4" s="413"/>
      <c r="D4" s="410" t="s">
        <v>52</v>
      </c>
      <c r="E4" s="411"/>
      <c r="F4" s="411"/>
      <c r="G4" s="411"/>
      <c r="H4" s="412"/>
    </row>
    <row r="5" spans="1:10" ht="25.5" customHeight="1">
      <c r="A5" s="9"/>
      <c r="C5" s="12"/>
      <c r="D5" s="12"/>
      <c r="E5" s="12"/>
      <c r="F5" s="12"/>
      <c r="G5" s="12"/>
      <c r="H5" s="12"/>
    </row>
    <row r="6" spans="1:10" ht="25.5" customHeight="1" thickBot="1">
      <c r="A6" s="13" t="s">
        <v>79</v>
      </c>
    </row>
    <row r="7" spans="1:10" ht="28.5" customHeight="1">
      <c r="B7" s="408"/>
      <c r="C7" s="409"/>
      <c r="D7" s="463"/>
      <c r="E7" s="18" t="s">
        <v>12</v>
      </c>
      <c r="F7" s="19" t="s">
        <v>13</v>
      </c>
      <c r="G7" s="430" t="s">
        <v>14</v>
      </c>
      <c r="H7" s="452"/>
    </row>
    <row r="8" spans="1:10" ht="25.5" customHeight="1" thickBot="1">
      <c r="B8" s="20" t="s">
        <v>15</v>
      </c>
      <c r="C8" s="85" t="s">
        <v>61</v>
      </c>
      <c r="D8" s="85"/>
      <c r="E8" s="21"/>
      <c r="F8" s="22"/>
      <c r="G8" s="60"/>
      <c r="H8" s="61"/>
    </row>
    <row r="9" spans="1:10" ht="25.5" customHeight="1" thickBot="1">
      <c r="B9" s="23"/>
      <c r="C9" s="450" t="s">
        <v>140</v>
      </c>
      <c r="D9" s="451"/>
      <c r="E9" s="86"/>
      <c r="F9" s="1">
        <v>15</v>
      </c>
      <c r="G9" s="102">
        <f>IF(E10="あり",F9/5,F9/3)</f>
        <v>3</v>
      </c>
      <c r="H9" s="103">
        <f>IF(E11="なし",ROUND(G9,1),0)</f>
        <v>3</v>
      </c>
      <c r="J9" s="25"/>
    </row>
    <row r="10" spans="1:10" ht="25.5" customHeight="1">
      <c r="B10" s="23"/>
      <c r="C10" s="466" t="s">
        <v>141</v>
      </c>
      <c r="D10" s="467"/>
      <c r="E10" s="87" t="s">
        <v>18</v>
      </c>
      <c r="F10" s="28"/>
      <c r="G10" s="104"/>
      <c r="H10" s="105"/>
      <c r="J10" s="25"/>
    </row>
    <row r="11" spans="1:10" ht="25.5" customHeight="1" thickBot="1">
      <c r="B11" s="23"/>
      <c r="C11" s="461" t="s">
        <v>113</v>
      </c>
      <c r="D11" s="462"/>
      <c r="E11" s="88" t="s">
        <v>111</v>
      </c>
      <c r="F11" s="89"/>
      <c r="G11" s="106"/>
      <c r="H11" s="107"/>
      <c r="J11" s="25"/>
    </row>
    <row r="12" spans="1:10" ht="25.5" customHeight="1" thickBot="1">
      <c r="B12" s="23"/>
      <c r="C12" s="395" t="s">
        <v>114</v>
      </c>
      <c r="D12" s="396"/>
      <c r="E12" s="24"/>
      <c r="F12" s="1">
        <v>7</v>
      </c>
      <c r="G12" s="108">
        <f>IF(E11="あり",F12/5,0)</f>
        <v>0</v>
      </c>
      <c r="H12" s="109">
        <f>ROUNDDOWN(G12,1)</f>
        <v>0</v>
      </c>
      <c r="J12" s="25"/>
    </row>
    <row r="13" spans="1:10" ht="25.5" customHeight="1" thickBot="1">
      <c r="B13" s="23"/>
      <c r="C13" s="448" t="s">
        <v>115</v>
      </c>
      <c r="D13" s="449"/>
      <c r="E13" s="90"/>
      <c r="F13" s="1">
        <v>3</v>
      </c>
      <c r="G13" s="64">
        <f>IF(E11="あり",F13/2,0)</f>
        <v>0</v>
      </c>
      <c r="H13" s="65">
        <f>ROUNDDOWN(G13,1)</f>
        <v>0</v>
      </c>
      <c r="J13" s="25"/>
    </row>
    <row r="14" spans="1:10" ht="25.5" customHeight="1" thickTop="1">
      <c r="B14" s="26"/>
      <c r="C14" s="91" t="s">
        <v>65</v>
      </c>
      <c r="D14" s="91"/>
      <c r="E14" s="27"/>
      <c r="F14" s="28"/>
      <c r="G14" s="110"/>
      <c r="H14" s="67">
        <f>ROUND(SUM(H9:H13),0)</f>
        <v>3</v>
      </c>
      <c r="J14" s="25"/>
    </row>
    <row r="15" spans="1:10" ht="25.5" customHeight="1">
      <c r="B15" s="92" t="s">
        <v>20</v>
      </c>
      <c r="C15" s="406" t="s">
        <v>137</v>
      </c>
      <c r="D15" s="457"/>
      <c r="E15" s="93" t="s">
        <v>18</v>
      </c>
      <c r="F15" s="94"/>
      <c r="G15" s="111"/>
      <c r="H15" s="112">
        <f>IF(E15="あり",0.4,0)</f>
        <v>0.4</v>
      </c>
    </row>
    <row r="16" spans="1:10" ht="25.5" customHeight="1">
      <c r="B16" s="26" t="s">
        <v>22</v>
      </c>
      <c r="C16" s="364" t="s">
        <v>37</v>
      </c>
      <c r="D16" s="363"/>
      <c r="E16" s="88" t="s">
        <v>18</v>
      </c>
      <c r="F16" s="266"/>
      <c r="G16" s="115"/>
      <c r="H16" s="317">
        <f>IF(E16="あり",0.6,0)</f>
        <v>0.6</v>
      </c>
    </row>
    <row r="17" spans="1:9" ht="25.5" customHeight="1">
      <c r="B17" s="95" t="s">
        <v>24</v>
      </c>
      <c r="C17" s="464" t="s">
        <v>108</v>
      </c>
      <c r="D17" s="465"/>
      <c r="E17" s="87" t="s">
        <v>18</v>
      </c>
      <c r="F17" s="96"/>
      <c r="G17" s="104"/>
      <c r="H17" s="113">
        <f>IF(E17="あり",-1,0)</f>
        <v>-1</v>
      </c>
    </row>
    <row r="18" spans="1:9" ht="25.5" customHeight="1" thickBot="1">
      <c r="B18" s="458" t="s">
        <v>109</v>
      </c>
      <c r="C18" s="459"/>
      <c r="D18" s="459"/>
      <c r="E18" s="459"/>
      <c r="F18" s="460"/>
      <c r="G18" s="71"/>
      <c r="H18" s="114">
        <v>1.6</v>
      </c>
    </row>
    <row r="19" spans="1:9" ht="25.5" customHeight="1" thickTop="1" thickBot="1">
      <c r="B19" s="36" t="s">
        <v>42</v>
      </c>
      <c r="F19" s="37"/>
      <c r="G19" s="115"/>
      <c r="H19" s="74">
        <f>SUM(H14:H18)</f>
        <v>4.5999999999999996</v>
      </c>
    </row>
    <row r="20" spans="1:9" ht="25.5" customHeight="1" thickBot="1">
      <c r="B20" s="38" t="s">
        <v>43</v>
      </c>
      <c r="C20" s="39"/>
      <c r="D20" s="39"/>
      <c r="E20" s="39"/>
      <c r="F20" s="40"/>
      <c r="G20" s="116"/>
      <c r="H20" s="76">
        <f>ROUND(H19,0)</f>
        <v>5</v>
      </c>
    </row>
    <row r="21" spans="1:9" ht="25.5" customHeight="1">
      <c r="B21" s="41"/>
      <c r="G21" s="97"/>
      <c r="H21" s="43"/>
    </row>
    <row r="22" spans="1:9" ht="25.5" customHeight="1" thickBot="1">
      <c r="A22" s="13" t="s">
        <v>45</v>
      </c>
      <c r="F22" s="9"/>
      <c r="G22" s="98"/>
      <c r="H22" s="360" t="s">
        <v>124</v>
      </c>
      <c r="I22" s="361" t="s">
        <v>123</v>
      </c>
    </row>
    <row r="23" spans="1:9" ht="25.5" customHeight="1" thickBot="1">
      <c r="B23" s="45" t="s">
        <v>46</v>
      </c>
      <c r="C23" s="46"/>
      <c r="D23" s="46"/>
      <c r="E23" s="46"/>
      <c r="F23" s="39"/>
      <c r="G23" s="47">
        <f>H20/3</f>
        <v>1.6666666666666667</v>
      </c>
      <c r="H23" s="81">
        <f>IF(ROUND(G23,0)=0,1,ROUND(G23,0))</f>
        <v>2</v>
      </c>
      <c r="I23" s="292">
        <v>2</v>
      </c>
    </row>
    <row r="24" spans="1:9" ht="25.5" customHeight="1" thickBot="1">
      <c r="B24" s="49" t="s">
        <v>47</v>
      </c>
      <c r="C24" s="46"/>
      <c r="D24" s="46"/>
      <c r="E24" s="46"/>
      <c r="F24" s="39"/>
      <c r="G24" s="47">
        <f>H20/5</f>
        <v>1</v>
      </c>
      <c r="H24" s="81">
        <f>IF(ROUND(G24,0)=0,1,ROUND(G24,0))</f>
        <v>1</v>
      </c>
      <c r="I24" s="292">
        <v>1</v>
      </c>
    </row>
    <row r="25" spans="1:9" ht="25.5" customHeight="1">
      <c r="F25" s="9"/>
      <c r="H25" s="43"/>
      <c r="I25" s="11"/>
    </row>
    <row r="26" spans="1:9" ht="25.5" customHeight="1" thickBot="1">
      <c r="A26" s="13" t="s">
        <v>48</v>
      </c>
      <c r="F26" s="9"/>
      <c r="I26" s="11"/>
    </row>
    <row r="27" spans="1:9" ht="25.5" customHeight="1" thickBot="1">
      <c r="B27" s="49"/>
      <c r="C27" s="50">
        <v>49020</v>
      </c>
      <c r="D27" s="46" t="s">
        <v>72</v>
      </c>
      <c r="E27" s="46"/>
      <c r="F27" s="39"/>
      <c r="G27" s="99"/>
      <c r="H27" s="362">
        <f>IF(I23="","実人数を入力してください",IF(ISBLANK(I23),C27*H23,IF(H23&lt;I23,C27*H23,C27*I23)))</f>
        <v>98040</v>
      </c>
      <c r="I27" s="11"/>
    </row>
    <row r="28" spans="1:9" ht="25.5" customHeight="1" thickBot="1">
      <c r="B28" s="52"/>
      <c r="C28" s="53">
        <v>6130</v>
      </c>
      <c r="D28" s="54" t="s">
        <v>73</v>
      </c>
      <c r="E28" s="54"/>
      <c r="F28" s="100"/>
      <c r="G28" s="101"/>
      <c r="H28" s="365">
        <f>IF(I24="","実人数を入力してください",IF(ISBLANK(I24),C28*H24,IF(H24&lt;I24,C28*H24,C28*I24)))</f>
        <v>6130</v>
      </c>
      <c r="I28" s="11"/>
    </row>
    <row r="29" spans="1:9" ht="25.5" customHeight="1" thickTop="1" thickBot="1">
      <c r="B29" s="56"/>
      <c r="C29" s="57" t="s">
        <v>74</v>
      </c>
      <c r="D29" s="57"/>
      <c r="E29" s="58"/>
      <c r="F29" s="58"/>
      <c r="G29" s="59"/>
      <c r="H29" s="323">
        <f>SUM(H27:H28)</f>
        <v>104170</v>
      </c>
      <c r="I29" s="11"/>
    </row>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33.7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sheetData>
  <mergeCells count="12">
    <mergeCell ref="B4:C4"/>
    <mergeCell ref="D4:H4"/>
    <mergeCell ref="G7:H7"/>
    <mergeCell ref="C9:D9"/>
    <mergeCell ref="C10:D10"/>
    <mergeCell ref="B18:F18"/>
    <mergeCell ref="C11:D11"/>
    <mergeCell ref="B7:D7"/>
    <mergeCell ref="C12:D12"/>
    <mergeCell ref="C13:D13"/>
    <mergeCell ref="C17:D17"/>
    <mergeCell ref="C15:D15"/>
  </mergeCells>
  <phoneticPr fontId="1"/>
  <dataValidations count="1">
    <dataValidation type="list" allowBlank="1" showInputMessage="1" showErrorMessage="1" sqref="E10:E11 E15:E17" xr:uid="{00000000-0002-0000-0500-000000000000}">
      <formula1>"　,あり,なし"</formula1>
    </dataValidation>
  </dataValidations>
  <pageMargins left="0.92" right="0.56000000000000005" top="0.75" bottom="0.37" header="0.3" footer="0.3"/>
  <pageSetup paperSize="9" scale="8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AA074A78-7E82-4BE4-A0D7-F2FEA3DE3924}"/>
</file>

<file path=customXml/itemProps2.xml><?xml version="1.0" encoding="utf-8"?>
<ds:datastoreItem xmlns:ds="http://schemas.openxmlformats.org/officeDocument/2006/customXml" ds:itemID="{FED2476F-047F-431F-BAA1-83CF0E9EB80C}"/>
</file>

<file path=customXml/itemProps3.xml><?xml version="1.0" encoding="utf-8"?>
<ds:datastoreItem xmlns:ds="http://schemas.openxmlformats.org/officeDocument/2006/customXml" ds:itemID="{0EDE3122-3758-4FA7-9485-3E8B0C0B3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幼稚園</vt:lpstr>
      <vt:lpstr>保育所</vt:lpstr>
      <vt:lpstr>認定こども園</vt:lpstr>
      <vt:lpstr>小規模（事業所内）Ａ・Ｂ</vt:lpstr>
      <vt:lpstr>事業所内（定員20以上）</vt:lpstr>
      <vt:lpstr>小規模Ｃ</vt:lpstr>
      <vt:lpstr>'事業所内（定員20以上）'!Print_Area</vt:lpstr>
      <vt:lpstr>'小規模（事業所内）Ａ・Ｂ'!Print_Area</vt:lpstr>
      <vt:lpstr>小規模Ｃ!Print_Area</vt:lpstr>
      <vt:lpstr>認定こども園!Print_Area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2025-05-19T05:26:24Z</dcterms:created>
  <dcterms:modified xsi:type="dcterms:W3CDTF">2025-05-19T05:29:11Z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15715600</vt:r8>
  </property>
  <property fmtid="{D5CDD505-2E9C-101B-9397-08002B2CF9AE}" pid="3" name="MediaServiceImageTags">
    <vt:lpwstr/>
  </property>
  <property fmtid="{D5CDD505-2E9C-101B-9397-08002B2CF9AE}" pid="4" name="ContentTypeId">
    <vt:lpwstr>0x010100A2349EC1B8497D47AF2D8CE59E582157</vt:lpwstr>
  </property>
</Properties>
</file>